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codeName="DieseArbeitsmappe" autoCompressPictures="0" defaultThemeVersion="124226"/>
  <mc:AlternateContent xmlns:mc="http://schemas.openxmlformats.org/markup-compatibility/2006">
    <mc:Choice Requires="x15">
      <x15ac:absPath xmlns:x15ac="http://schemas.microsoft.com/office/spreadsheetml/2010/11/ac" url="\\zentrale.local\FS\EU_Abteilung\03_Projektmanagement\15_EPlus_Projekte_2019\01_LA1_EU02\10_Programmländer\04_Berichte\Zwischenbericht\Formulare für Projektträger\"/>
    </mc:Choice>
  </mc:AlternateContent>
  <xr:revisionPtr revIDLastSave="0" documentId="13_ncr:1_{026BE9C1-762E-4038-88AF-FA1AEA1C4B49}" xr6:coauthVersionLast="45" xr6:coauthVersionMax="45" xr10:uidLastSave="{00000000-0000-0000-0000-000000000000}"/>
  <workbookProtection workbookAlgorithmName="SHA-512" workbookHashValue="wk4eC+Il2QZRb+JgW+3jfI87HiVMTX6BPdjF9zORSbvU+SW2QUvUWmY/p73bWWFWhthO0Pj2JQst0d99CehdDA==" workbookSaltValue="HWtXfPsPsAeATeTYOmf+uQ==" workbookSpinCount="100000" lockStructure="1"/>
  <bookViews>
    <workbookView xWindow="-28920" yWindow="-120" windowWidth="29040" windowHeight="17640" xr2:uid="{00000000-000D-0000-FFFF-FFFF00000000}"/>
  </bookViews>
  <sheets>
    <sheet name="Übersicht" sheetId="5" r:id="rId1"/>
    <sheet name="Mobilitätsangaben" sheetId="9" r:id="rId2"/>
    <sheet name="70%-Nachweis" sheetId="13" r:id="rId3"/>
    <sheet name="Referenzblatt" sheetId="11" state="hidden" r:id="rId4"/>
    <sheet name="OS-Rechner" sheetId="10" state="hidden" r:id="rId5"/>
  </sheets>
  <definedNames>
    <definedName name="_xlnm._FilterDatabase" localSheetId="3" hidden="1">Referenzblatt!$A$1:$U$349</definedName>
    <definedName name="AwardedMOBgrant">#REF!</definedName>
    <definedName name="Awardedmobilityperiods">#REF!</definedName>
    <definedName name="AwardedOS">#REF!</definedName>
    <definedName name="AwardedSMgrant">#REF!</definedName>
    <definedName name="awardedtotalgrant">#REF!</definedName>
    <definedName name="AwardedTSgrant">#REF!</definedName>
    <definedName name="Countries">#REF!</definedName>
    <definedName name="_xlnm.Print_Area" localSheetId="1">Mobilitätsangaben!$A$1:$S$44</definedName>
    <definedName name="eligiblegrantuse">#REF!</definedName>
    <definedName name="esttotalgrantuse">#REF!</definedName>
    <definedName name="esttotalMobgrant">#REF!</definedName>
    <definedName name="Grantbalance">#REF!</definedName>
    <definedName name="LISTE">#REF!</definedName>
    <definedName name="NULL">#REF!</definedName>
    <definedName name="Paymentreceived">#REF!</definedName>
    <definedName name="Plannedmobilityperiods">#REF!</definedName>
    <definedName name="PlannedSMgrantuse">#REF!</definedName>
    <definedName name="Plannedtotalgrantuse">#REF!</definedName>
    <definedName name="PlannedTSgrantuse">#REF!</definedName>
    <definedName name="Realisedmobilityperiods">#REF!</definedName>
    <definedName name="RealisedSMgrant">#REF!</definedName>
    <definedName name="Realisedtotalgrant">#REF!</definedName>
    <definedName name="RealisedTSgrant">#REF!</definedName>
    <definedName name="RecalulatedOS">#REF!</definedName>
    <definedName name="RecalulatedOSaftertransfers">#REF!</definedName>
    <definedName name="RecalulatedrealOSaftertransfers">#REF!</definedName>
    <definedName name="Requestedadditionalgrant">#REF!</definedName>
    <definedName name="SMaftertransfer">#REF!</definedName>
    <definedName name="SMgrantbalance">#REF!</definedName>
    <definedName name="STaftertransfer">#REF!</definedName>
    <definedName name="Tabelle1">#REF!</definedName>
    <definedName name="toSMfromOS">#REF!</definedName>
    <definedName name="toSMfromST">#REF!</definedName>
    <definedName name="toSMPfromOS">#REF!</definedName>
    <definedName name="toSMPfromSMS">#REF!</definedName>
    <definedName name="toSMPfromST">#REF!</definedName>
    <definedName name="toSMSfromOS">#REF!</definedName>
    <definedName name="toSMSfromSMP">#REF!</definedName>
    <definedName name="toSMSfromST">#REF!</definedName>
    <definedName name="toSTfromOS">#REF!</definedName>
    <definedName name="TSgrantbalanc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5" l="1"/>
  <c r="U4" i="11" l="1"/>
  <c r="U3" i="11"/>
  <c r="O26" i="9" l="1"/>
  <c r="N26" i="9"/>
  <c r="N14" i="9"/>
  <c r="O14" i="9"/>
  <c r="J33" i="9"/>
  <c r="B2" i="9" l="1"/>
  <c r="D4" i="9" s="1"/>
  <c r="E15" i="5" s="1"/>
  <c r="D6" i="9" l="1"/>
  <c r="D22" i="9"/>
  <c r="D18" i="9"/>
  <c r="D8" i="9"/>
  <c r="D21" i="9"/>
  <c r="D16" i="9"/>
  <c r="D20" i="9"/>
  <c r="D10" i="9"/>
  <c r="D5" i="9"/>
  <c r="D17" i="9"/>
  <c r="D9" i="9"/>
  <c r="D14" i="9" l="1"/>
  <c r="D26" i="9"/>
  <c r="D29" i="9" s="1"/>
  <c r="D24" i="9"/>
  <c r="D13" i="9"/>
  <c r="D25" i="9"/>
  <c r="D12" i="9"/>
  <c r="D28" i="9" l="1"/>
  <c r="O22" i="9"/>
  <c r="N22" i="9"/>
  <c r="K22" i="9"/>
  <c r="O18" i="9"/>
  <c r="N18" i="9"/>
  <c r="P22" i="9" l="1"/>
  <c r="H10" i="9"/>
  <c r="L6" i="9" l="1"/>
  <c r="M26" i="9" l="1"/>
  <c r="J26" i="9"/>
  <c r="J36" i="9"/>
  <c r="P26" i="9" l="1"/>
  <c r="U349" i="11"/>
  <c r="U348" i="11"/>
  <c r="U347" i="11"/>
  <c r="U346" i="11"/>
  <c r="U345" i="11"/>
  <c r="U344" i="11"/>
  <c r="U343" i="11"/>
  <c r="U342" i="11"/>
  <c r="U341" i="11"/>
  <c r="U340" i="11"/>
  <c r="U339" i="11"/>
  <c r="U338" i="11"/>
  <c r="U337" i="11"/>
  <c r="U336" i="11"/>
  <c r="U335" i="11"/>
  <c r="U334" i="11"/>
  <c r="U333" i="11"/>
  <c r="U332" i="11"/>
  <c r="U331" i="11"/>
  <c r="U330" i="11"/>
  <c r="U329" i="11"/>
  <c r="U328" i="11"/>
  <c r="U327" i="11"/>
  <c r="U326" i="11"/>
  <c r="U325" i="11"/>
  <c r="U324" i="11"/>
  <c r="U323" i="11"/>
  <c r="U322" i="11"/>
  <c r="U321" i="11"/>
  <c r="U320" i="11"/>
  <c r="U319" i="11"/>
  <c r="U318" i="11"/>
  <c r="U317" i="11"/>
  <c r="U316" i="11"/>
  <c r="U315" i="11"/>
  <c r="U314" i="11"/>
  <c r="U313" i="11"/>
  <c r="U312" i="11"/>
  <c r="U311" i="11"/>
  <c r="U310" i="11"/>
  <c r="U309" i="11"/>
  <c r="U308" i="11"/>
  <c r="U307" i="11"/>
  <c r="U306" i="11"/>
  <c r="U305" i="11"/>
  <c r="U304" i="11"/>
  <c r="U303" i="11"/>
  <c r="U302" i="11"/>
  <c r="U301" i="11"/>
  <c r="U300" i="11"/>
  <c r="U299" i="11"/>
  <c r="U298" i="11"/>
  <c r="U297" i="11"/>
  <c r="U296" i="11"/>
  <c r="U295" i="11"/>
  <c r="U294" i="11"/>
  <c r="U293" i="11"/>
  <c r="U292" i="11"/>
  <c r="U291" i="11"/>
  <c r="U290" i="11"/>
  <c r="U289" i="11"/>
  <c r="U288" i="11"/>
  <c r="U287" i="11"/>
  <c r="U286" i="11"/>
  <c r="U285" i="11"/>
  <c r="U284" i="11"/>
  <c r="U283" i="11"/>
  <c r="U282" i="11"/>
  <c r="U281" i="11"/>
  <c r="U280" i="11"/>
  <c r="U279" i="11"/>
  <c r="U278" i="11"/>
  <c r="U277" i="11"/>
  <c r="U276" i="11"/>
  <c r="U275" i="11"/>
  <c r="U274" i="11"/>
  <c r="U273" i="11"/>
  <c r="U272" i="11"/>
  <c r="U271" i="11"/>
  <c r="U270" i="11"/>
  <c r="U269" i="11"/>
  <c r="U268" i="11"/>
  <c r="U267" i="11"/>
  <c r="U266" i="11"/>
  <c r="U265" i="11"/>
  <c r="U264" i="11"/>
  <c r="U263" i="11"/>
  <c r="U262" i="11"/>
  <c r="U261" i="11"/>
  <c r="U260" i="11"/>
  <c r="U259" i="11"/>
  <c r="U258" i="11"/>
  <c r="U257" i="11"/>
  <c r="U256" i="11"/>
  <c r="U255" i="11"/>
  <c r="U254" i="11"/>
  <c r="U253" i="11"/>
  <c r="U252" i="11"/>
  <c r="U251" i="11"/>
  <c r="U250" i="11"/>
  <c r="U249" i="11"/>
  <c r="U248" i="11"/>
  <c r="U247" i="11"/>
  <c r="U246" i="11"/>
  <c r="U245" i="11"/>
  <c r="U244" i="11"/>
  <c r="U243" i="11"/>
  <c r="U242" i="11"/>
  <c r="U241" i="11"/>
  <c r="U240" i="11"/>
  <c r="U239" i="11"/>
  <c r="U238" i="11"/>
  <c r="U237" i="11"/>
  <c r="U236" i="11"/>
  <c r="U235" i="11"/>
  <c r="U234" i="11"/>
  <c r="U233" i="11"/>
  <c r="U232" i="11"/>
  <c r="U231" i="11"/>
  <c r="U230" i="11"/>
  <c r="U229" i="11"/>
  <c r="U228" i="11"/>
  <c r="U227" i="11"/>
  <c r="U226" i="11"/>
  <c r="U225" i="11"/>
  <c r="U224" i="11"/>
  <c r="U223" i="11"/>
  <c r="U222" i="11"/>
  <c r="U221" i="11"/>
  <c r="U220" i="11"/>
  <c r="U219" i="11"/>
  <c r="U218" i="11"/>
  <c r="U217" i="11"/>
  <c r="U216" i="11"/>
  <c r="U215" i="11"/>
  <c r="U214" i="11"/>
  <c r="U213" i="11"/>
  <c r="U212" i="11"/>
  <c r="U211" i="11"/>
  <c r="U210" i="11"/>
  <c r="U209" i="11"/>
  <c r="U208" i="11"/>
  <c r="U207" i="11"/>
  <c r="U206" i="11"/>
  <c r="U205" i="11"/>
  <c r="U204" i="11"/>
  <c r="U203" i="11"/>
  <c r="U202" i="11"/>
  <c r="U201" i="11"/>
  <c r="U200" i="11"/>
  <c r="U199" i="11"/>
  <c r="U198" i="11"/>
  <c r="U197" i="11"/>
  <c r="U196" i="11"/>
  <c r="U195" i="11"/>
  <c r="U194" i="11"/>
  <c r="U193" i="11"/>
  <c r="U192" i="11"/>
  <c r="U191" i="11"/>
  <c r="U190" i="11"/>
  <c r="U189" i="11"/>
  <c r="U188" i="11"/>
  <c r="U187" i="11"/>
  <c r="U186" i="11"/>
  <c r="U185" i="11"/>
  <c r="U184" i="11"/>
  <c r="U183" i="11"/>
  <c r="U182" i="11"/>
  <c r="U181" i="11"/>
  <c r="U180" i="11"/>
  <c r="U179" i="11"/>
  <c r="U178" i="11"/>
  <c r="U177" i="11"/>
  <c r="U176" i="11"/>
  <c r="U175" i="11"/>
  <c r="U174" i="11"/>
  <c r="U173" i="11"/>
  <c r="U172" i="11"/>
  <c r="U171" i="11"/>
  <c r="U170" i="11"/>
  <c r="U169" i="11"/>
  <c r="U168" i="11"/>
  <c r="U167" i="11"/>
  <c r="U166" i="11"/>
  <c r="U165" i="11"/>
  <c r="U164" i="11"/>
  <c r="U163" i="11"/>
  <c r="U162" i="11"/>
  <c r="U161" i="11"/>
  <c r="U160" i="11"/>
  <c r="U159" i="11"/>
  <c r="U158" i="11"/>
  <c r="U157" i="11"/>
  <c r="U156" i="11"/>
  <c r="U155" i="11"/>
  <c r="U154" i="11"/>
  <c r="U153" i="11"/>
  <c r="U152" i="11"/>
  <c r="U151" i="11"/>
  <c r="U150" i="11"/>
  <c r="U149" i="11"/>
  <c r="U148" i="11"/>
  <c r="U147" i="11"/>
  <c r="U146" i="11"/>
  <c r="U145" i="11"/>
  <c r="U144" i="11"/>
  <c r="U143" i="11"/>
  <c r="U142" i="11"/>
  <c r="U141" i="11"/>
  <c r="U140" i="11"/>
  <c r="U139" i="11"/>
  <c r="U138" i="11"/>
  <c r="U137" i="11"/>
  <c r="U136" i="11"/>
  <c r="U135" i="11"/>
  <c r="U134" i="11"/>
  <c r="U133" i="11"/>
  <c r="U132" i="11"/>
  <c r="U131" i="11"/>
  <c r="U130" i="11"/>
  <c r="U129" i="11"/>
  <c r="U128" i="11"/>
  <c r="U127" i="11"/>
  <c r="U126" i="11"/>
  <c r="U125" i="11"/>
  <c r="U124" i="11"/>
  <c r="U123" i="11"/>
  <c r="U122" i="11"/>
  <c r="U121" i="11"/>
  <c r="U120" i="11"/>
  <c r="U119" i="11"/>
  <c r="U118" i="11"/>
  <c r="U117" i="11"/>
  <c r="U116" i="11"/>
  <c r="U115" i="11"/>
  <c r="U114" i="11"/>
  <c r="U113" i="11"/>
  <c r="U112" i="11"/>
  <c r="U111" i="11"/>
  <c r="U110" i="11"/>
  <c r="U109" i="11"/>
  <c r="U108" i="11"/>
  <c r="U107" i="11"/>
  <c r="U106" i="11"/>
  <c r="U105" i="11"/>
  <c r="U104" i="11"/>
  <c r="U103" i="11"/>
  <c r="U102" i="11"/>
  <c r="U101" i="11"/>
  <c r="U100" i="11"/>
  <c r="U99" i="11"/>
  <c r="U98" i="11"/>
  <c r="U97" i="11"/>
  <c r="U96" i="11"/>
  <c r="U95" i="11"/>
  <c r="U94" i="11"/>
  <c r="U93" i="11"/>
  <c r="U92" i="11"/>
  <c r="U91" i="11"/>
  <c r="U90" i="11"/>
  <c r="U89" i="11"/>
  <c r="U88" i="11"/>
  <c r="U87" i="11"/>
  <c r="U86" i="11"/>
  <c r="U85" i="11"/>
  <c r="U84" i="11"/>
  <c r="U83" i="11"/>
  <c r="U82" i="11"/>
  <c r="U81" i="11"/>
  <c r="U80" i="11"/>
  <c r="U79" i="11"/>
  <c r="U78" i="11"/>
  <c r="U77" i="11"/>
  <c r="U76" i="11"/>
  <c r="U75" i="11"/>
  <c r="U74" i="11"/>
  <c r="U73" i="11"/>
  <c r="U72" i="11"/>
  <c r="U71" i="11"/>
  <c r="U70" i="11"/>
  <c r="U69" i="11"/>
  <c r="U68" i="11"/>
  <c r="U67" i="11"/>
  <c r="U66" i="11"/>
  <c r="U65" i="11"/>
  <c r="U64" i="11"/>
  <c r="U63" i="11"/>
  <c r="U62" i="11"/>
  <c r="U61" i="11"/>
  <c r="U60" i="11"/>
  <c r="U59" i="11"/>
  <c r="U58" i="11"/>
  <c r="U57" i="11"/>
  <c r="U56" i="11"/>
  <c r="U55" i="11"/>
  <c r="U54" i="11"/>
  <c r="U53" i="11"/>
  <c r="U52" i="11"/>
  <c r="U51" i="11"/>
  <c r="U50" i="11"/>
  <c r="U49" i="11"/>
  <c r="U48" i="11"/>
  <c r="U47" i="11"/>
  <c r="U46" i="11"/>
  <c r="U45" i="11"/>
  <c r="U44" i="11"/>
  <c r="U43" i="11"/>
  <c r="U42" i="11"/>
  <c r="U41" i="11"/>
  <c r="U40" i="11"/>
  <c r="U39" i="11"/>
  <c r="U38" i="11"/>
  <c r="U37" i="11"/>
  <c r="U36" i="11"/>
  <c r="U35" i="11"/>
  <c r="U34" i="11"/>
  <c r="U33" i="11"/>
  <c r="U32" i="11"/>
  <c r="U31" i="11"/>
  <c r="U30" i="11"/>
  <c r="U29" i="11"/>
  <c r="U28" i="11"/>
  <c r="U27" i="11"/>
  <c r="U26" i="11"/>
  <c r="U25" i="11"/>
  <c r="U24" i="11"/>
  <c r="U23" i="11"/>
  <c r="U22" i="11"/>
  <c r="U21" i="11"/>
  <c r="U20" i="11"/>
  <c r="U19" i="11"/>
  <c r="U18" i="11"/>
  <c r="U17" i="11"/>
  <c r="U16" i="11"/>
  <c r="U15" i="11"/>
  <c r="U14" i="11"/>
  <c r="U13" i="11"/>
  <c r="U12" i="11"/>
  <c r="U11" i="11"/>
  <c r="U10" i="11"/>
  <c r="U9" i="11"/>
  <c r="U8" i="11"/>
  <c r="U7" i="11"/>
  <c r="U6" i="11"/>
  <c r="U5" i="11"/>
  <c r="D7" i="13" l="1"/>
  <c r="D42" i="9" l="1"/>
  <c r="D39" i="9"/>
  <c r="D36" i="9"/>
  <c r="D33" i="9"/>
  <c r="G36" i="9" l="1"/>
  <c r="G33" i="9"/>
  <c r="G6" i="10" l="1"/>
  <c r="E7" i="5" l="1"/>
  <c r="C2" i="9"/>
  <c r="G18" i="13" l="1"/>
  <c r="G42" i="9" l="1"/>
  <c r="G39" i="9"/>
  <c r="C36" i="9"/>
  <c r="C42" i="9" l="1"/>
  <c r="C39" i="9"/>
  <c r="C33" i="9"/>
  <c r="F12" i="9" l="1"/>
  <c r="F13" i="9"/>
  <c r="F14" i="9"/>
  <c r="D4" i="13" l="1"/>
  <c r="E16" i="5" l="1"/>
  <c r="G18" i="5" l="1"/>
  <c r="G17" i="5"/>
  <c r="M10" i="9"/>
  <c r="M6" i="9"/>
  <c r="L10" i="9"/>
  <c r="J14" i="9" s="1"/>
  <c r="M14" i="9" l="1"/>
  <c r="P14" i="9" s="1"/>
  <c r="G12" i="9"/>
  <c r="F24" i="9" l="1"/>
  <c r="G24" i="9"/>
  <c r="G15" i="5" l="1"/>
  <c r="G16" i="5"/>
  <c r="D6" i="13" l="1"/>
  <c r="F26" i="9"/>
  <c r="G26" i="9"/>
  <c r="Q26" i="9"/>
  <c r="H6" i="9"/>
  <c r="J15" i="5" s="1"/>
  <c r="J6" i="9"/>
  <c r="P6" i="9" s="1"/>
  <c r="K10" i="9"/>
  <c r="P10" i="9" s="1"/>
  <c r="Q10" i="9" s="1"/>
  <c r="R10" i="9" s="1"/>
  <c r="G14" i="9"/>
  <c r="H22" i="9"/>
  <c r="J18" i="5" s="1"/>
  <c r="F18" i="5"/>
  <c r="F17" i="5"/>
  <c r="F16" i="5"/>
  <c r="F15" i="5"/>
  <c r="G13" i="9"/>
  <c r="H3" i="10"/>
  <c r="F3" i="10"/>
  <c r="D3" i="10"/>
  <c r="B3" i="10"/>
  <c r="E18" i="5"/>
  <c r="E17" i="5"/>
  <c r="J18" i="9"/>
  <c r="P18" i="9" s="1"/>
  <c r="H21" i="9"/>
  <c r="R21" i="9" s="1"/>
  <c r="H20" i="9"/>
  <c r="R20" i="9" s="1"/>
  <c r="H18" i="9"/>
  <c r="J17" i="5" s="1"/>
  <c r="H17" i="9"/>
  <c r="R17" i="9" s="1"/>
  <c r="H16" i="9"/>
  <c r="R16" i="9" s="1"/>
  <c r="H9" i="9"/>
  <c r="R9" i="9" s="1"/>
  <c r="H8" i="9"/>
  <c r="H5" i="9"/>
  <c r="F25" i="9"/>
  <c r="G25" i="9"/>
  <c r="H24" i="9"/>
  <c r="R24" i="9" s="1"/>
  <c r="G28" i="9"/>
  <c r="H4" i="9"/>
  <c r="R4" i="9" s="1"/>
  <c r="I15" i="5" l="1"/>
  <c r="R5" i="9"/>
  <c r="H16" i="5"/>
  <c r="R8" i="9"/>
  <c r="S10" i="9"/>
  <c r="Q22" i="9"/>
  <c r="R22" i="9" s="1"/>
  <c r="J16" i="5"/>
  <c r="I18" i="5"/>
  <c r="H18" i="5"/>
  <c r="I17" i="5"/>
  <c r="H17" i="5"/>
  <c r="I16" i="5"/>
  <c r="H15" i="5"/>
  <c r="Q18" i="9"/>
  <c r="R18" i="9" s="1"/>
  <c r="G29" i="9"/>
  <c r="D15" i="10"/>
  <c r="D5" i="13"/>
  <c r="E22" i="5"/>
  <c r="F29" i="9"/>
  <c r="H15" i="10"/>
  <c r="Q6" i="9"/>
  <c r="R6" i="9" s="1"/>
  <c r="S6" i="9" s="1"/>
  <c r="H12" i="9"/>
  <c r="R12" i="9" s="1"/>
  <c r="H26" i="9"/>
  <c r="R26" i="9" s="1"/>
  <c r="H25" i="9"/>
  <c r="R25" i="9" s="1"/>
  <c r="F15" i="10"/>
  <c r="B15" i="10"/>
  <c r="H13" i="9"/>
  <c r="R13" i="9" s="1"/>
  <c r="H14" i="9"/>
  <c r="F28" i="9"/>
  <c r="H28" i="9" s="1"/>
  <c r="R28" i="9" s="1"/>
  <c r="E8" i="10"/>
  <c r="G8" i="10" s="1"/>
  <c r="R14" i="9" l="1"/>
  <c r="O36" i="9"/>
  <c r="J30" i="5"/>
  <c r="J29" i="5"/>
  <c r="H22" i="5"/>
  <c r="E31" i="5" s="1"/>
  <c r="H29" i="9"/>
  <c r="G20" i="10"/>
  <c r="E20" i="5"/>
  <c r="G18" i="10"/>
  <c r="Q14" i="9"/>
  <c r="E23" i="10"/>
  <c r="E9" i="10"/>
  <c r="G9" i="10" s="1"/>
  <c r="G10" i="10" s="1"/>
  <c r="G20" i="5" s="1"/>
  <c r="G22" i="5" s="1"/>
  <c r="G10" i="13" s="1"/>
  <c r="G13" i="13" s="1"/>
  <c r="S14" i="9" l="1"/>
  <c r="O33" i="9"/>
  <c r="O39" i="9"/>
  <c r="E30" i="5"/>
  <c r="E29" i="5"/>
  <c r="J27" i="5"/>
  <c r="J28" i="5"/>
  <c r="Q29" i="9"/>
  <c r="R29" i="9" s="1"/>
  <c r="R3" i="9" s="1"/>
  <c r="E24" i="10"/>
  <c r="G24" i="10" s="1"/>
  <c r="G30" i="10"/>
  <c r="H20" i="5" s="1"/>
  <c r="G23" i="10"/>
  <c r="O42" i="9" l="1"/>
  <c r="E28" i="5"/>
  <c r="E27" i="5"/>
  <c r="S29" i="9"/>
  <c r="S24" i="9"/>
  <c r="S16" i="9"/>
  <c r="S28" i="9"/>
  <c r="S21" i="9"/>
  <c r="S26" i="9"/>
  <c r="S20" i="9"/>
  <c r="S17" i="9"/>
  <c r="S25" i="9"/>
  <c r="S5" i="9"/>
  <c r="S13" i="9"/>
  <c r="S9" i="9"/>
  <c r="S4" i="9"/>
  <c r="S12" i="9"/>
  <c r="S8" i="9"/>
  <c r="S18" i="9"/>
  <c r="S22" i="9"/>
  <c r="G20" i="13"/>
  <c r="G25" i="10"/>
  <c r="G27" i="10" s="1"/>
  <c r="G28" i="10" s="1"/>
  <c r="G29" i="10" l="1"/>
  <c r="J20" i="5"/>
  <c r="J22" i="5" s="1"/>
</calcChain>
</file>

<file path=xl/sharedStrings.xml><?xml version="1.0" encoding="utf-8"?>
<sst xmlns="http://schemas.openxmlformats.org/spreadsheetml/2006/main" count="1243" uniqueCount="1149">
  <si>
    <t>Anzahl Personen</t>
  </si>
  <si>
    <t>Budget</t>
  </si>
  <si>
    <t>nach STT</t>
  </si>
  <si>
    <t>nach STA</t>
  </si>
  <si>
    <t>von SMS</t>
  </si>
  <si>
    <t>nach SMP</t>
  </si>
  <si>
    <t>von SMP</t>
  </si>
  <si>
    <t>von STA</t>
  </si>
  <si>
    <t>von STT</t>
  </si>
  <si>
    <t>SMS:</t>
  </si>
  <si>
    <t>SMP:</t>
  </si>
  <si>
    <t>STA:</t>
  </si>
  <si>
    <t>STT:</t>
  </si>
  <si>
    <r>
      <t>1. Kategorie:</t>
    </r>
    <r>
      <rPr>
        <sz val="10"/>
        <rFont val="Calibri"/>
        <family val="2"/>
      </rPr>
      <t xml:space="preserve"> 1 - 100 Personen</t>
    </r>
  </si>
  <si>
    <t>x</t>
  </si>
  <si>
    <t>=</t>
  </si>
  <si>
    <r>
      <t>2. Kategorie:</t>
    </r>
    <r>
      <rPr>
        <sz val="10"/>
        <rFont val="Calibri"/>
        <family val="2"/>
      </rPr>
      <t xml:space="preserve"> &gt; 100 Personen</t>
    </r>
  </si>
  <si>
    <t>SUMME</t>
  </si>
  <si>
    <t xml:space="preserve">Bewilligte Mobilitäten
</t>
  </si>
  <si>
    <t>OS-Mittel</t>
  </si>
  <si>
    <t>Summe Personen achieved and planned</t>
  </si>
  <si>
    <t>Datum</t>
  </si>
  <si>
    <t>nach SMS</t>
  </si>
  <si>
    <t>Bilanz/Ergebnis SMS nach Transfers</t>
  </si>
  <si>
    <t>Bilanz/Ergebnis SMP nach Transfers</t>
  </si>
  <si>
    <t>Bilanz/Ergebnis SM nach Transfers</t>
  </si>
  <si>
    <t>Bilanz/Ergebnis STA nach Transfers</t>
  </si>
  <si>
    <t>Bilanz/Ergebnis STT nach Transfers</t>
  </si>
  <si>
    <t>Bilanz/Ergebnis ST nach Transfers</t>
  </si>
  <si>
    <r>
      <t xml:space="preserve">Studierenden-mobilität: Auslandsstudium
</t>
    </r>
    <r>
      <rPr>
        <b/>
        <sz val="9"/>
        <color theme="1"/>
        <rFont val="Calibri"/>
        <family val="2"/>
        <scheme val="minor"/>
      </rPr>
      <t>(SMS)</t>
    </r>
  </si>
  <si>
    <r>
      <t xml:space="preserve">Studierenden-mobilität: Auslandspraktikum
</t>
    </r>
    <r>
      <rPr>
        <b/>
        <sz val="9"/>
        <color theme="1"/>
        <rFont val="Calibri"/>
        <family val="2"/>
        <scheme val="minor"/>
      </rPr>
      <t>(SMP)</t>
    </r>
  </si>
  <si>
    <t>GESAMT</t>
  </si>
  <si>
    <t>Name des Projektträgers</t>
  </si>
  <si>
    <t>Monate gesamt</t>
  </si>
  <si>
    <t>Bewilligtes Budget</t>
  </si>
  <si>
    <t>Bewilligt nach Transfer</t>
  </si>
  <si>
    <r>
      <t>Personalmobilität
(</t>
    </r>
    <r>
      <rPr>
        <b/>
        <sz val="9"/>
        <color theme="1"/>
        <rFont val="Calibri"/>
        <family val="2"/>
        <scheme val="minor"/>
      </rPr>
      <t xml:space="preserve">ST </t>
    </r>
    <r>
      <rPr>
        <sz val="9"/>
        <color theme="1"/>
        <rFont val="Calibri"/>
        <family val="2"/>
        <scheme val="minor"/>
      </rPr>
      <t>= STA+STT)</t>
    </r>
  </si>
  <si>
    <r>
      <t xml:space="preserve">Studierendenmobilität: 
Auslandsstudium </t>
    </r>
    <r>
      <rPr>
        <b/>
        <sz val="9.5"/>
        <color theme="1"/>
        <rFont val="Calibri"/>
        <family val="2"/>
        <charset val="238"/>
        <scheme val="minor"/>
      </rPr>
      <t>(SMS)</t>
    </r>
  </si>
  <si>
    <r>
      <t xml:space="preserve">Studierendenmobilität: 
Auslandspraktikum </t>
    </r>
    <r>
      <rPr>
        <b/>
        <sz val="9.5"/>
        <color theme="1"/>
        <rFont val="Calibri"/>
        <family val="2"/>
        <charset val="238"/>
        <scheme val="minor"/>
      </rPr>
      <t>(SMP)</t>
    </r>
  </si>
  <si>
    <r>
      <t xml:space="preserve">Personalmobilität: 
Mobilität zu Unterrichtszwecken </t>
    </r>
    <r>
      <rPr>
        <b/>
        <sz val="9.5"/>
        <color theme="1"/>
        <rFont val="Calibri"/>
        <family val="2"/>
        <charset val="238"/>
        <scheme val="minor"/>
      </rPr>
      <t>(STA)</t>
    </r>
  </si>
  <si>
    <r>
      <t xml:space="preserve">Personalmobilität: Mobilität zu Fort- und Weiterbildungszwecken </t>
    </r>
    <r>
      <rPr>
        <b/>
        <sz val="9.5"/>
        <color theme="1"/>
        <rFont val="Calibri"/>
        <family val="2"/>
        <charset val="238"/>
        <scheme val="minor"/>
      </rPr>
      <t>(STT)</t>
    </r>
  </si>
  <si>
    <t>Projektnummer</t>
  </si>
  <si>
    <t>Tage gesamt</t>
  </si>
  <si>
    <t>ProjectCode</t>
  </si>
  <si>
    <t>D  AACHEN01</t>
  </si>
  <si>
    <t>D  AACHEN02</t>
  </si>
  <si>
    <t>D  AALEN01</t>
  </si>
  <si>
    <t>D  ALFTER01</t>
  </si>
  <si>
    <t>D  ANSBACH01</t>
  </si>
  <si>
    <t>D  ANSBACH02</t>
  </si>
  <si>
    <t>D  ASCHAFF01</t>
  </si>
  <si>
    <t>D  AUGSBUR01</t>
  </si>
  <si>
    <t>D  AUGSBUR02</t>
  </si>
  <si>
    <t>D  BAD-HON01</t>
  </si>
  <si>
    <t>D  BAMBERG01</t>
  </si>
  <si>
    <t>D  BAYREUT01</t>
  </si>
  <si>
    <t>D  BERLIN01</t>
  </si>
  <si>
    <t>D  BERLIN02</t>
  </si>
  <si>
    <t>D  BERLIN02_K</t>
  </si>
  <si>
    <t>D  BERLIN03</t>
  </si>
  <si>
    <t>D  BERLIN04</t>
  </si>
  <si>
    <t>D  BERLIN05</t>
  </si>
  <si>
    <t>D  BERLIN06</t>
  </si>
  <si>
    <t>D  BERLIN10</t>
  </si>
  <si>
    <t>D  BERLIN13</t>
  </si>
  <si>
    <t>D  BERLIN16</t>
  </si>
  <si>
    <t>D  BERLIN18</t>
  </si>
  <si>
    <t>D  BERLIN20</t>
  </si>
  <si>
    <t>D  BERLIN24</t>
  </si>
  <si>
    <t>D  BERLIN29</t>
  </si>
  <si>
    <t>D  BERLIN30</t>
  </si>
  <si>
    <t>D  BERLIN32</t>
  </si>
  <si>
    <t>D  BERLIN33</t>
  </si>
  <si>
    <t>D  BERLIN38</t>
  </si>
  <si>
    <t>D  BERLIN40</t>
  </si>
  <si>
    <t>D  BIBERAC01</t>
  </si>
  <si>
    <t>D  BIELEFE01</t>
  </si>
  <si>
    <t>D  BIELEFE02</t>
  </si>
  <si>
    <t>D  BINGEN01</t>
  </si>
  <si>
    <t>D  BOCHUM01</t>
  </si>
  <si>
    <t>D  BOCHUM02</t>
  </si>
  <si>
    <t>D  BOCHUM04</t>
  </si>
  <si>
    <t>D  BOCHUM05</t>
  </si>
  <si>
    <t>D  BOCHUM06</t>
  </si>
  <si>
    <t>D  BONN01</t>
  </si>
  <si>
    <t>D  BRANDEN01</t>
  </si>
  <si>
    <t>D  BRAUNSC01</t>
  </si>
  <si>
    <t>D  BRAUNSC02</t>
  </si>
  <si>
    <t>D  BREMEN01</t>
  </si>
  <si>
    <t>D  BREMEN03</t>
  </si>
  <si>
    <t>D  BREMEN04</t>
  </si>
  <si>
    <t>D  BREMEN07</t>
  </si>
  <si>
    <t>D  BREMEN09</t>
  </si>
  <si>
    <t>D  BREMERH01</t>
  </si>
  <si>
    <t>D  BRUHL01</t>
  </si>
  <si>
    <t>D  BUXTEHU02</t>
  </si>
  <si>
    <t>D  CHEMNIT01</t>
  </si>
  <si>
    <t>D  CLAUSTH01</t>
  </si>
  <si>
    <t>D  COBURG01</t>
  </si>
  <si>
    <t>D  COTTBUS03</t>
  </si>
  <si>
    <t>D  COTTBUS03_K</t>
  </si>
  <si>
    <t>D  DARMSTA01</t>
  </si>
  <si>
    <t>D  DARMSTA02</t>
  </si>
  <si>
    <t>D  DARMSTA03</t>
  </si>
  <si>
    <t>D  DETMOLD01</t>
  </si>
  <si>
    <t>D  DORTMUN01</t>
  </si>
  <si>
    <t>D  DORTMUN02</t>
  </si>
  <si>
    <t>D  DORTMUN04</t>
  </si>
  <si>
    <t>D  DRESDEN01</t>
  </si>
  <si>
    <t>D  DRESDEN02</t>
  </si>
  <si>
    <t>D  DRESDEN02_K</t>
  </si>
  <si>
    <t>D  DRESDEN04</t>
  </si>
  <si>
    <t>D  DRESDEN05</t>
  </si>
  <si>
    <t>D  DRESDEN07</t>
  </si>
  <si>
    <t>D  DRESDEN09</t>
  </si>
  <si>
    <t>D  DUSSELD01</t>
  </si>
  <si>
    <t>D  DUSSELD03</t>
  </si>
  <si>
    <t>D  DUSSELD06</t>
  </si>
  <si>
    <t>D  EBERSWA01</t>
  </si>
  <si>
    <t>D  EICHSTA01</t>
  </si>
  <si>
    <t>D  ELMSHOR01</t>
  </si>
  <si>
    <t>D  EMDEN02</t>
  </si>
  <si>
    <t>D  ERDING01</t>
  </si>
  <si>
    <t>D  ERFURT03</t>
  </si>
  <si>
    <t>D  ERFURT05</t>
  </si>
  <si>
    <t>D  ERLANGE01</t>
  </si>
  <si>
    <t>D  ERLANGE02</t>
  </si>
  <si>
    <t>D  ESSEN02</t>
  </si>
  <si>
    <t>D  ESSEN03</t>
  </si>
  <si>
    <t>D  ESSEN04</t>
  </si>
  <si>
    <t>D  ESSLING03</t>
  </si>
  <si>
    <t>D  FLENSBU01</t>
  </si>
  <si>
    <t>D  FLENSBU02</t>
  </si>
  <si>
    <t>D  FRANKFU01</t>
  </si>
  <si>
    <t>D  FRANKFU02</t>
  </si>
  <si>
    <t>D  FRANKFU04</t>
  </si>
  <si>
    <t>D  FRANKFU06</t>
  </si>
  <si>
    <t>D  FRANKFU07</t>
  </si>
  <si>
    <t>D  FRANKFU08</t>
  </si>
  <si>
    <t>D  FREIBER01</t>
  </si>
  <si>
    <t>D  FREIBUR01</t>
  </si>
  <si>
    <t>D  FREIBUR02</t>
  </si>
  <si>
    <t>D  FREIBUR03</t>
  </si>
  <si>
    <t>D  FREIBUR04</t>
  </si>
  <si>
    <t>D  FREIBUR05</t>
  </si>
  <si>
    <t>D  FREISIN01</t>
  </si>
  <si>
    <t>D  FULDA01</t>
  </si>
  <si>
    <t>D  FULDA01_K</t>
  </si>
  <si>
    <t>D  FURTWAN01</t>
  </si>
  <si>
    <t>D  GELSENK01</t>
  </si>
  <si>
    <t>D  GELSENK02</t>
  </si>
  <si>
    <t>D  GERA01</t>
  </si>
  <si>
    <t>D  GIESSEN01</t>
  </si>
  <si>
    <t>D  GIESSEN02</t>
  </si>
  <si>
    <t>D  GOTTING01</t>
  </si>
  <si>
    <t>D  GREIFS01</t>
  </si>
  <si>
    <t>D  HAGEN01</t>
  </si>
  <si>
    <t>D  HALLE01</t>
  </si>
  <si>
    <t>D  HALLE03</t>
  </si>
  <si>
    <t>D  HAMBURG01</t>
  </si>
  <si>
    <t>D  HAMBURG03</t>
  </si>
  <si>
    <t>D  HAMBURG04</t>
  </si>
  <si>
    <t>D  HAMBURG05</t>
  </si>
  <si>
    <t>D  HAMBURG06</t>
  </si>
  <si>
    <t>D  HAMBURG10</t>
  </si>
  <si>
    <t>D  HAMBURG11</t>
  </si>
  <si>
    <t>D  HAMBURG12</t>
  </si>
  <si>
    <t>D  HAMBURG13</t>
  </si>
  <si>
    <t>D  HAMBURG14</t>
  </si>
  <si>
    <t>D  HAMBURG15</t>
  </si>
  <si>
    <t>D  HAMBURG18</t>
  </si>
  <si>
    <t>MSH Medical School Hamburg GmbH</t>
  </si>
  <si>
    <t>D  HAMBURG19</t>
  </si>
  <si>
    <t>D  HAMM01</t>
  </si>
  <si>
    <t>D  HANNOVE01</t>
  </si>
  <si>
    <t>D  HANNOVE01_K</t>
  </si>
  <si>
    <t>D  HANNOVE02</t>
  </si>
  <si>
    <t>D  HANNOVE03</t>
  </si>
  <si>
    <t>D  HANNOVE04</t>
  </si>
  <si>
    <t>D  HANNOVE05</t>
  </si>
  <si>
    <t>D  HANNOVE09</t>
  </si>
  <si>
    <t>D  HANNOVE10</t>
  </si>
  <si>
    <t>D  HEIDE01</t>
  </si>
  <si>
    <t>D  HEIDELB01</t>
  </si>
  <si>
    <t>D  HEIDELB02</t>
  </si>
  <si>
    <t>D  HEIDELB05</t>
  </si>
  <si>
    <t>D  HEIDENH02</t>
  </si>
  <si>
    <t>D  HEILBRO01</t>
  </si>
  <si>
    <t>D  HEILBRO03</t>
  </si>
  <si>
    <t>D  HILDESH01</t>
  </si>
  <si>
    <t>D  HILDESH02</t>
  </si>
  <si>
    <t>D  HOF01</t>
  </si>
  <si>
    <t>D  IDSTEIN01</t>
  </si>
  <si>
    <t>D  ILMENAU01</t>
  </si>
  <si>
    <t>D  ILMENAU01_K</t>
  </si>
  <si>
    <t>D  INGOLST01</t>
  </si>
  <si>
    <t>D  ISERLOH01</t>
  </si>
  <si>
    <t>D  JENA01</t>
  </si>
  <si>
    <t>D  JENA02</t>
  </si>
  <si>
    <t>D  KAISERS01</t>
  </si>
  <si>
    <t>D  KAISERS02</t>
  </si>
  <si>
    <t>D  KARLSRU01</t>
  </si>
  <si>
    <t>D  KARLSRU02</t>
  </si>
  <si>
    <t>D  KARLSRU03</t>
  </si>
  <si>
    <t>D  KARLSRU05</t>
  </si>
  <si>
    <t>D  KARLSRU05_K</t>
  </si>
  <si>
    <t>D  KARLSRU08</t>
  </si>
  <si>
    <t>D  KASSEL01</t>
  </si>
  <si>
    <t>D  KEHL01</t>
  </si>
  <si>
    <t>D  KEMPTEN01</t>
  </si>
  <si>
    <t>D  KEMPTEN02</t>
  </si>
  <si>
    <t>D  KIEL01</t>
  </si>
  <si>
    <t>D  KIEL03</t>
  </si>
  <si>
    <t>D  KIEL05</t>
  </si>
  <si>
    <t>D  KLEVE01</t>
  </si>
  <si>
    <t>D  KOBLENZ02</t>
  </si>
  <si>
    <t>D  KOBLENZ03</t>
  </si>
  <si>
    <t>D  KOLN01</t>
  </si>
  <si>
    <t>D  KOLN02</t>
  </si>
  <si>
    <t>D  KOLN03</t>
  </si>
  <si>
    <t>D  KOLN04</t>
  </si>
  <si>
    <t>D  KOLN05</t>
  </si>
  <si>
    <t>D  KOLN12</t>
  </si>
  <si>
    <t>D  KONSTAN01</t>
  </si>
  <si>
    <t>D  KONSTAN02</t>
  </si>
  <si>
    <t>D  KOTHEN01</t>
  </si>
  <si>
    <t>D  KREFELD01</t>
  </si>
  <si>
    <t>D  LANDSHU01</t>
  </si>
  <si>
    <t>D  LEIPZIG01</t>
  </si>
  <si>
    <t>D  LEIPZIG02</t>
  </si>
  <si>
    <t>D  LEIPZIG04</t>
  </si>
  <si>
    <t>D  LEIPZIG05</t>
  </si>
  <si>
    <t>D  LEIPZIG09</t>
  </si>
  <si>
    <t>D  LEMGO01</t>
  </si>
  <si>
    <t>D  LORRACH01</t>
  </si>
  <si>
    <t>D  LUBECK01</t>
  </si>
  <si>
    <t>D  LUBECK02</t>
  </si>
  <si>
    <t>D  LUBECK03</t>
  </si>
  <si>
    <t>D  LUDWIGB01</t>
  </si>
  <si>
    <t>D  LUDWIGB03</t>
  </si>
  <si>
    <t>D  LUDWIGB06</t>
  </si>
  <si>
    <t>D  LUDWIGH01</t>
  </si>
  <si>
    <t>D  LUNEBUR01</t>
  </si>
  <si>
    <t>D  MAGDEBU01</t>
  </si>
  <si>
    <t>D  MAGDEBU01_K</t>
  </si>
  <si>
    <t>D  MAGDEBU04</t>
  </si>
  <si>
    <t>D  MAINZ01</t>
  </si>
  <si>
    <t>D  MAINZ01_K</t>
  </si>
  <si>
    <t>D  MAINZ05</t>
  </si>
  <si>
    <t>D  MAINZ08</t>
  </si>
  <si>
    <t>D  MANNHEI01</t>
  </si>
  <si>
    <t>D  MANNHEI03</t>
  </si>
  <si>
    <t>D  MANNHEI06</t>
  </si>
  <si>
    <t>D  MANNHEI08</t>
  </si>
  <si>
    <t>D  MANNHEI10</t>
  </si>
  <si>
    <t>D  MARBURG01</t>
  </si>
  <si>
    <t>D  MERSEB02</t>
  </si>
  <si>
    <t>D  MITTWEI01</t>
  </si>
  <si>
    <t>D  MOSBACH01</t>
  </si>
  <si>
    <t>D  MULHEIM01</t>
  </si>
  <si>
    <t>D  MUNCHEN01</t>
  </si>
  <si>
    <t>D  MUNCHEN02</t>
  </si>
  <si>
    <t>D  MUNCHEN03</t>
  </si>
  <si>
    <t>D  MUNCHEN04</t>
  </si>
  <si>
    <t>D  MUNCHEN06</t>
  </si>
  <si>
    <t>D  MUNCHEN07</t>
  </si>
  <si>
    <t>D  MUNCHEN08</t>
  </si>
  <si>
    <t>D  MUNCHEN10</t>
  </si>
  <si>
    <t>D  MUNCHEN11</t>
  </si>
  <si>
    <t>D  MUNCHEN12</t>
  </si>
  <si>
    <t>D  MUNCHEN13</t>
  </si>
  <si>
    <t>D  MUNSTER01</t>
  </si>
  <si>
    <t>D  MUNSTER02</t>
  </si>
  <si>
    <t>D  NEUBRAN02</t>
  </si>
  <si>
    <t>D  NIENBUR01</t>
  </si>
  <si>
    <t>D  NORDHAU01</t>
  </si>
  <si>
    <t>D  NURNBER01</t>
  </si>
  <si>
    <t>D  NURNBER02</t>
  </si>
  <si>
    <t>D  NURNBER03</t>
  </si>
  <si>
    <t>D  NURNBER04</t>
  </si>
  <si>
    <t>D  NURNBER05</t>
  </si>
  <si>
    <t>International Dialog College and Research Institute (IDC)</t>
  </si>
  <si>
    <t>D  NURTING01</t>
  </si>
  <si>
    <t>D  OESTRIC01</t>
  </si>
  <si>
    <t>D  OFFENBA01</t>
  </si>
  <si>
    <t>D  OFFENBU01</t>
  </si>
  <si>
    <t>D  OLDENBU01</t>
  </si>
  <si>
    <t>D  OSNABRU01</t>
  </si>
  <si>
    <t>D  OSNABRU02</t>
  </si>
  <si>
    <t>D  OSNABRU02_K</t>
  </si>
  <si>
    <t>D  PADERBO01</t>
  </si>
  <si>
    <t>D  PADERBO04</t>
  </si>
  <si>
    <t>D  PADERBO05</t>
  </si>
  <si>
    <t>D  PASSAU01</t>
  </si>
  <si>
    <t>D  POTSDAM01</t>
  </si>
  <si>
    <t>D  POTSDAM03</t>
  </si>
  <si>
    <t>D  RAVENSB01</t>
  </si>
  <si>
    <t>D  RAVENSB02</t>
  </si>
  <si>
    <t>D  REGENSB01</t>
  </si>
  <si>
    <t>D  REGENSB02</t>
  </si>
  <si>
    <t>D  REGENSB03</t>
  </si>
  <si>
    <t>D  REUTLIN02</t>
  </si>
  <si>
    <t>D  RIEDLIN01</t>
  </si>
  <si>
    <t>D  ROSENHE01</t>
  </si>
  <si>
    <t>D  ROSTOCK01</t>
  </si>
  <si>
    <t>D  ROSTOCK02</t>
  </si>
  <si>
    <t>D  ROTTENB01</t>
  </si>
  <si>
    <t>D  SAARBRU01</t>
  </si>
  <si>
    <t>D  SAARBRU03</t>
  </si>
  <si>
    <t>D  SAARBRU07</t>
  </si>
  <si>
    <t>D  SAARBRU08</t>
  </si>
  <si>
    <t>D  SCHMALK01</t>
  </si>
  <si>
    <t>D  SCHWA-G01</t>
  </si>
  <si>
    <t>D  SCHWA-G02</t>
  </si>
  <si>
    <t>D  SIEGEN01</t>
  </si>
  <si>
    <t>D  SIGMARI01</t>
  </si>
  <si>
    <t>D  SPEYER02</t>
  </si>
  <si>
    <t>D  ST-AUGU02</t>
  </si>
  <si>
    <t>D  STRALSU01</t>
  </si>
  <si>
    <t>D  STUTTGA01</t>
  </si>
  <si>
    <t>D  STUTTGA02</t>
  </si>
  <si>
    <t>D  STUTTGA03</t>
  </si>
  <si>
    <t>D  STUTTGA05</t>
  </si>
  <si>
    <t>D  STUTTGA06</t>
  </si>
  <si>
    <t>D  STUTTGA09</t>
  </si>
  <si>
    <t>D  STUTTGA10</t>
  </si>
  <si>
    <t>D  TRIER01</t>
  </si>
  <si>
    <t>D  TRIER02</t>
  </si>
  <si>
    <t>D  TRIER02_K</t>
  </si>
  <si>
    <t>D  TROSSIN01</t>
  </si>
  <si>
    <t>D  TUBINGE01</t>
  </si>
  <si>
    <t>D  ULM01</t>
  </si>
  <si>
    <t>D  ULM02</t>
  </si>
  <si>
    <t>D  ULM03</t>
  </si>
  <si>
    <t>D  VECHTA02</t>
  </si>
  <si>
    <t>D  VILLING02</t>
  </si>
  <si>
    <t>D  WEDEL-H01</t>
  </si>
  <si>
    <t>D  WEIMAR01</t>
  </si>
  <si>
    <t>D  WEIMAR02</t>
  </si>
  <si>
    <t>D  WEINGAR01</t>
  </si>
  <si>
    <t>D  WERNIGE01</t>
  </si>
  <si>
    <t>D  WIESBAD01</t>
  </si>
  <si>
    <t>D  WIESBAD04</t>
  </si>
  <si>
    <t>D  WILDAU01</t>
  </si>
  <si>
    <t>D  WILHELM02</t>
  </si>
  <si>
    <t>D  WISMAR01</t>
  </si>
  <si>
    <t>D  WITTEN02</t>
  </si>
  <si>
    <t>D  WOLFENB01</t>
  </si>
  <si>
    <t>D  WORMS01</t>
  </si>
  <si>
    <t>D  WUPPERT01</t>
  </si>
  <si>
    <t>D  WURZBUR01</t>
  </si>
  <si>
    <t>D  WURZBUR02</t>
  </si>
  <si>
    <t>D  WURZBUR03</t>
  </si>
  <si>
    <t>D  ZITTAU01</t>
  </si>
  <si>
    <t>D  ZWICKAU01</t>
  </si>
  <si>
    <t>Aufenthaltskosten gesamt</t>
  </si>
  <si>
    <t>Unterschrift Erasmus+ Koordinator/in</t>
  </si>
  <si>
    <t>Budget zum Zwischenbericht</t>
  </si>
  <si>
    <t>Fördersumme gesamt</t>
  </si>
  <si>
    <t>Laufzeit Finanzhilfevereinbarung</t>
  </si>
  <si>
    <t>Monate 
(für SM)/ 
Tage (für ST)</t>
  </si>
  <si>
    <t>Budget je Aktion</t>
  </si>
  <si>
    <t>Transfer zwischen Aktionen</t>
  </si>
  <si>
    <r>
      <t>Studierenden-mobilität 
(</t>
    </r>
    <r>
      <rPr>
        <b/>
        <sz val="9"/>
        <color theme="1"/>
        <rFont val="Calibri"/>
        <family val="2"/>
        <scheme val="minor"/>
      </rPr>
      <t>SM</t>
    </r>
    <r>
      <rPr>
        <sz val="9"/>
        <color theme="1"/>
        <rFont val="Calibri"/>
        <family val="2"/>
        <scheme val="minor"/>
      </rPr>
      <t xml:space="preserve"> = SMS + SMP)</t>
    </r>
  </si>
  <si>
    <t>Aufenthalts- und Fahrtkosten gesamt</t>
  </si>
  <si>
    <t>InstName</t>
  </si>
  <si>
    <t>personen_SMS</t>
  </si>
  <si>
    <t>Individual_SMS</t>
  </si>
  <si>
    <t>personen_SMP</t>
  </si>
  <si>
    <t>Individual_SMP</t>
  </si>
  <si>
    <t>personen_STA</t>
  </si>
  <si>
    <t>TOTAL PARTICIPANTS</t>
  </si>
  <si>
    <t>Grants Awarded</t>
  </si>
  <si>
    <t>OrganisationalSupportTotalGrant</t>
  </si>
  <si>
    <t>OrganisationalSupportParticipants</t>
  </si>
  <si>
    <t>TOTAL CALCULATED GRANT</t>
  </si>
  <si>
    <t>D  AMBERG01</t>
  </si>
  <si>
    <t>D  BERLIN14</t>
  </si>
  <si>
    <t>D  BERLIN44</t>
  </si>
  <si>
    <t>BAU International Berlin - University of Applied Sciences</t>
  </si>
  <si>
    <t>D  DEGGEND01</t>
  </si>
  <si>
    <t>D  DUSSELD08</t>
  </si>
  <si>
    <t>D  FRIEDRI01</t>
  </si>
  <si>
    <t>D  GOTTING02</t>
  </si>
  <si>
    <t>D  HAMBURG21</t>
  </si>
  <si>
    <t>Northern Business School Hochschule für Management und Sicherheit</t>
  </si>
  <si>
    <t>D  KARLSRU07</t>
  </si>
  <si>
    <t>D  KOLN07</t>
  </si>
  <si>
    <t>SMS_m</t>
  </si>
  <si>
    <t>SMP_m</t>
  </si>
  <si>
    <t>STA_t</t>
  </si>
  <si>
    <t>STT_t</t>
  </si>
  <si>
    <t>ErasmusCode</t>
  </si>
  <si>
    <t>Individual_Travel_STA</t>
  </si>
  <si>
    <t>Individual_Travel_STT</t>
  </si>
  <si>
    <t>STT_p</t>
  </si>
  <si>
    <t>Gedeckelte OS-Gesamtsumme nach Zwischenbericht</t>
  </si>
  <si>
    <t>OS-Personenzahl nach ZB</t>
  </si>
  <si>
    <r>
      <t>Anzahl Personen, die für  volle Anerkennung der bewilligten OS-Summe erreicht werden muss</t>
    </r>
    <r>
      <rPr>
        <sz val="10"/>
        <rFont val="Calibri"/>
        <family val="2"/>
      </rPr>
      <t xml:space="preserve"> (10% Regel)</t>
    </r>
  </si>
  <si>
    <t>Summe Personen bewilligt</t>
  </si>
  <si>
    <t>Mobilitäten nach Zwischenbericht</t>
  </si>
  <si>
    <t>Transfers</t>
  </si>
  <si>
    <t>Summe laut Finanzhilfevereinbarung</t>
  </si>
  <si>
    <t>III. Auszahlungen/Ausgaben des Projektträgers</t>
  </si>
  <si>
    <t>SUMME AUSGABEN GESAMT</t>
  </si>
  <si>
    <t xml:space="preserve">Prüfvermerk der amtlichen Prüfstelle des Projektträgers. </t>
  </si>
  <si>
    <t>Hiermit wird die Richtigkeit der unter Punkt II und Punkt III aufgeführten Summen bestätigt.</t>
  </si>
  <si>
    <t>I. Finanzhilfevereinbarung</t>
  </si>
  <si>
    <t>II. Bisher von der NA DAAD erhaltene Mittel</t>
  </si>
  <si>
    <t>Ausgezahlter Anteil (III.1 und III.2) an der Gesamtzuwendung (II)</t>
  </si>
  <si>
    <t>1. Erste Rate der Finanzhilfevereinbarung erhalten (Überweisung)</t>
  </si>
  <si>
    <t>1. Bereits an Endbegünstigte gezahlt</t>
  </si>
  <si>
    <t>2. Bereits aus OS verausgabt/verwendet</t>
  </si>
  <si>
    <t>Datum, Unterschrift der Prüfstelle</t>
  </si>
  <si>
    <t>Datum, Unterschrift Erasmus+ -Koordinator/in</t>
  </si>
  <si>
    <t>Name Erasmus+ Koordinator/in</t>
  </si>
  <si>
    <t>Hinweise zu</t>
  </si>
  <si>
    <t>Auswertung Zwischenbericht</t>
  </si>
  <si>
    <t>SMS</t>
  </si>
  <si>
    <t>SMP</t>
  </si>
  <si>
    <t>STA</t>
  </si>
  <si>
    <t>STT</t>
  </si>
  <si>
    <t>In der unten stehenden Tabelle werden logische Fehler beim Ausfüllen des Zwischenberichts aufgeführt.</t>
  </si>
  <si>
    <t>OS-Gesamtsumme ohne 10%-Toleranz nach Zwischenbericht</t>
  </si>
  <si>
    <t xml:space="preserve">Bewilligt (aktuelle Finanzhilfe-vereinbarung)
</t>
  </si>
  <si>
    <t>1. Rate</t>
  </si>
  <si>
    <t>Alanus Hochschule gGmbH</t>
  </si>
  <si>
    <t>Augustana-Hochschule</t>
  </si>
  <si>
    <t>Hochschule für angewandte Wissenschaften Augsburg</t>
  </si>
  <si>
    <t>Alice Salomon Hochschule Berlin</t>
  </si>
  <si>
    <t>Evangelische Hochschule Berlin</t>
  </si>
  <si>
    <t>Hochschule für Technik und Wirtschaft Berlin</t>
  </si>
  <si>
    <t>Hochschule für Musik "Hanns Eisler" Berlin</t>
  </si>
  <si>
    <t>D  BERLIN17</t>
  </si>
  <si>
    <t>Hochschule für Schauspielkunst "Ernst Busch"</t>
  </si>
  <si>
    <t>Katholische Hochschule für Sozialwesen Berlin (KHSB)</t>
  </si>
  <si>
    <t>D  BERLIN25</t>
  </si>
  <si>
    <t>bbw Hochschule</t>
  </si>
  <si>
    <t>Bard College Berlin, A Liberal Arts University gGmbH</t>
  </si>
  <si>
    <t>MSB Medical School Berlin GmbH</t>
  </si>
  <si>
    <t>Hochschule für Gesundheit</t>
  </si>
  <si>
    <t>Hochschule für Bildende Künste Braunschweig</t>
  </si>
  <si>
    <t>University of the Arts Bremen</t>
  </si>
  <si>
    <t>Hochschule Bremen</t>
  </si>
  <si>
    <t>Europäische Fachhochschule Rhein/Erft GmbH</t>
  </si>
  <si>
    <t>Hochschule für angewandte Wissenschaften Coburg</t>
  </si>
  <si>
    <t>Hochschule für Musik Detmold</t>
  </si>
  <si>
    <t>Hochschule für Bildende Künste Dresden</t>
  </si>
  <si>
    <t>University of Music Carl Maria von Weber Dresden</t>
  </si>
  <si>
    <t>Palucca Hochschule für Tanz Dresden</t>
  </si>
  <si>
    <t>D  DRESDEN13</t>
  </si>
  <si>
    <t>Hochschule der Sächsischen Polizei (FH)</t>
  </si>
  <si>
    <t>IST-Hochschule für Management GmbH</t>
  </si>
  <si>
    <t>Nordakademie - Hochschule der Wirtschaft</t>
  </si>
  <si>
    <t>Hochschule für angewandtes Management GmbH</t>
  </si>
  <si>
    <t>Institut für Fremdsprachen und Auslandskunde bei der Universität Erlangen-Nürnberg</t>
  </si>
  <si>
    <t>Folkwang Universität der Künste</t>
  </si>
  <si>
    <t>Hochschule Flensburg</t>
  </si>
  <si>
    <t>Hochschule für Musik und Darstellende Kunst Frankfurt am Main</t>
  </si>
  <si>
    <t>Hochschule für Musik Freiburg</t>
  </si>
  <si>
    <t>Evangelische Hochschule Freiburg</t>
  </si>
  <si>
    <t>Hochschule für bildende Künste Hamburg</t>
  </si>
  <si>
    <t>Bucerius Law School - Hochschule für Rechtswissenschaften gemeinnützige GmbH</t>
  </si>
  <si>
    <t>Hamburg Media School GmbH</t>
  </si>
  <si>
    <t>HSBA Hamburg School of Business Administration</t>
  </si>
  <si>
    <t>Leibniz Fachhochschule</t>
  </si>
  <si>
    <t>Fachhochschule Westküste</t>
  </si>
  <si>
    <t>Duale Hochschule Baden-Württemberg Heidenheim</t>
  </si>
  <si>
    <t>Duale Hochschule Baden-Württemberg Heilbronn</t>
  </si>
  <si>
    <t>Duale Hochschule Baden-Württemberg Karlsruhe</t>
  </si>
  <si>
    <t>Karlshochschule gemeinnützige GmbH</t>
  </si>
  <si>
    <t>D  KASSEL02</t>
  </si>
  <si>
    <t>Hochschule für öffentliche Verwaltung Kehl</t>
  </si>
  <si>
    <t>WHU - Otto Beisheim School of Management</t>
  </si>
  <si>
    <t>Hochschule für Musik und Tanz Köln</t>
  </si>
  <si>
    <t>Cologne Business School</t>
  </si>
  <si>
    <t>Musikhochschule Lübeck</t>
  </si>
  <si>
    <t>Evangelische Hochschule Ludwigsburg</t>
  </si>
  <si>
    <t>Katholische Hochschule Mainz</t>
  </si>
  <si>
    <t>Hochschule Mainz - University of Applied Sciences</t>
  </si>
  <si>
    <t>Duale Hochschule Baden-Württemberg Mannheim</t>
  </si>
  <si>
    <t>Hochschule der Wirtschaft für Management</t>
  </si>
  <si>
    <t>Duale Hochschule Baden-Württemberg Mosbach</t>
  </si>
  <si>
    <t>Hochschule für Musik und Theater München</t>
  </si>
  <si>
    <t>Akademie der Bildenden Künste München</t>
  </si>
  <si>
    <t>Munich Business School GmbH</t>
  </si>
  <si>
    <t>Polizeiakademie Niedersachsen</t>
  </si>
  <si>
    <t>Akademie der Bildenden Künste Nürnberg</t>
  </si>
  <si>
    <t>Evangelische Hochschule Nürnberg</t>
  </si>
  <si>
    <t>EBS Universität für Wirtschaft und Recht</t>
  </si>
  <si>
    <t>Hochschule für Gestaltung Offenbach am Main</t>
  </si>
  <si>
    <t>Fachhochschule der Wirtschaft Nordrhein-Westfalen gGmbH</t>
  </si>
  <si>
    <t>Duale Hochschule Baden-Württemberg Ravensburg</t>
  </si>
  <si>
    <t>Hochschule für Musik und Theater Rostock</t>
  </si>
  <si>
    <t>Hochschule für Technik und Wirtschaft des Saarlandes</t>
  </si>
  <si>
    <t>Hochschule der Bildenden Künste Saar</t>
  </si>
  <si>
    <t>Hochschule für Musik Saar</t>
  </si>
  <si>
    <t>Hochschule Bonn-Rhein-Sieg</t>
  </si>
  <si>
    <t>Hochschule Trier University of Applied Sciences</t>
  </si>
  <si>
    <t>Staatliche Hochschule für Musik Trossingen</t>
  </si>
  <si>
    <t>Hochschule Ulm - Technik, Informatik &amp; Medien</t>
  </si>
  <si>
    <t>Duale Hochschule Baden-Württemberg Villingen-Schwenningen</t>
  </si>
  <si>
    <t>Fachhochschule Wedel gemeinnützige Schulgesellschaft mbH</t>
  </si>
  <si>
    <t>Hochschule RheinMain</t>
  </si>
  <si>
    <t>Hochschule für Musik Würzburg</t>
  </si>
  <si>
    <t>Rheinisch-Westfälische Technische Hochschule Aachen</t>
  </si>
  <si>
    <t>Fachhochschule Aachen</t>
  </si>
  <si>
    <t>Hochschule Aalen - Technik und Wirtschaft</t>
  </si>
  <si>
    <t>Ostbayerische Technische Hochschule Amberg-Weiden</t>
  </si>
  <si>
    <t>Hochschule für angewandte Wissenschaften - Fachhochschule Ansbach</t>
  </si>
  <si>
    <t>Universität Augsburg</t>
  </si>
  <si>
    <t>Internationale Hochschule Bad Honnef.Bonn</t>
  </si>
  <si>
    <t>Otto-Friedrich-Universität Bamberg</t>
  </si>
  <si>
    <t>Universität Bayreuth</t>
  </si>
  <si>
    <t>Freie Universität Berlin</t>
  </si>
  <si>
    <t>Technische Universität Berlin</t>
  </si>
  <si>
    <t>Universität der Künste Berlin</t>
  </si>
  <si>
    <t>Beuth-Hochschule für Technik Berlin</t>
  </si>
  <si>
    <t>Hochschule für Wirtschaft und Recht Berlin</t>
  </si>
  <si>
    <t>Humboldt-Universität zu Berlin</t>
  </si>
  <si>
    <t>Kunsthochschule Berlin-Weißensee Hochschule für Gestaltung</t>
  </si>
  <si>
    <t>Hertie School of Governance gGmbH</t>
  </si>
  <si>
    <t>HMKW Hochschule für Medien Kommunikation und Wirtschaft</t>
  </si>
  <si>
    <t>International Psychoanalytic University Berlin</t>
  </si>
  <si>
    <t>Hochschule für Wirtschaft, Technik und Kultur gGmbH</t>
  </si>
  <si>
    <t>Hochschule Biberach</t>
  </si>
  <si>
    <t>Universität Bielefeld</t>
  </si>
  <si>
    <t>Fachhochschule Bielefeld</t>
  </si>
  <si>
    <t>Fachhochschule Bingen</t>
  </si>
  <si>
    <t>Ruhr-Universität Bochum</t>
  </si>
  <si>
    <t>Hochschule Bochum</t>
  </si>
  <si>
    <t>Evangelische Fachhochschule Rheinland-Westfalen-Lippe University of Applied Sciences</t>
  </si>
  <si>
    <t>Technische Fachhochschule Georg Agricola zu Bochum</t>
  </si>
  <si>
    <t>D  BOCHUM07</t>
  </si>
  <si>
    <t>EBZ Business School - University of Applied Sciences</t>
  </si>
  <si>
    <t>Rheinische Friedrich-Wilhelm-Universität Bonn</t>
  </si>
  <si>
    <t>Technische Hochschule Brandenburg</t>
  </si>
  <si>
    <t>Technische Universität Braunschweig</t>
  </si>
  <si>
    <t>Universität Bremen</t>
  </si>
  <si>
    <t>Hochschule für öffentliche Verwaltung Bremen</t>
  </si>
  <si>
    <t>Jacobs University Bremen gGmbH</t>
  </si>
  <si>
    <t>Hochschule Bremerhaven - University of Applied Sciences</t>
  </si>
  <si>
    <t>Hochschule 21 gGmbH</t>
  </si>
  <si>
    <t>Technische Universität Chemnitz</t>
  </si>
  <si>
    <t>Technische Universität Clausthal</t>
  </si>
  <si>
    <t>Brandenburgische Technische Universität Cottbus-Senftenberg</t>
  </si>
  <si>
    <t>Technische Universität Darmstadt</t>
  </si>
  <si>
    <t>Hochschule Darmstadt (University of Applied Sciences H-DA)</t>
  </si>
  <si>
    <t>Evangelische Hochschule Darmstadt EHD</t>
  </si>
  <si>
    <t>Technische Hochschule Deggendorf</t>
  </si>
  <si>
    <t>Technische Universität Dortmund</t>
  </si>
  <si>
    <t>Fachhochschule Dortmund</t>
  </si>
  <si>
    <t>ISM International School of Management GmbH-gGmbH</t>
  </si>
  <si>
    <t>Hochschule für Technik und Wirtschaft Dresden</t>
  </si>
  <si>
    <t>Technische Universität Dresden</t>
  </si>
  <si>
    <t>Evangelische Hochschule Dresden (EHS) University of Applied Sciences für Social Work, Education and Nursing</t>
  </si>
  <si>
    <t>Heinrich-Heine-Universität Düsseldorf</t>
  </si>
  <si>
    <t>Hochschule Düsseldorf</t>
  </si>
  <si>
    <t>Robert Schumann Hochschule Düsseldorf</t>
  </si>
  <si>
    <t>Hochschule für nachhaltige Entwicklung Eberswalde (FH)</t>
  </si>
  <si>
    <t>Katholische Universität Eichstätt-Ingolstadt</t>
  </si>
  <si>
    <t>Hochschule Emden/Leer</t>
  </si>
  <si>
    <t>Fachhochschule Erfurt</t>
  </si>
  <si>
    <t>Universität Erfurt</t>
  </si>
  <si>
    <t>Friedrich-Alexander-Universität Erlangen-Nürnberg</t>
  </si>
  <si>
    <t>FOM Hochschule für Oekonomie &amp; Management gGmbH</t>
  </si>
  <si>
    <t>Universität Duisburg-Essen</t>
  </si>
  <si>
    <t>Hochschule Esslingen</t>
  </si>
  <si>
    <t>Europa-Universität Flensburg</t>
  </si>
  <si>
    <t>Johann Wolfgang Goethe Universität Frankfurt Am Main</t>
  </si>
  <si>
    <t>Frankfurt University of Applied Sciences</t>
  </si>
  <si>
    <t>Philosophisch Theologische Hochschule Sankt Georgen</t>
  </si>
  <si>
    <t>Frankfurt School of Finance &amp; Management gGmbH</t>
  </si>
  <si>
    <t>Europa-Universität Viadrina Frankfurt (Oder)</t>
  </si>
  <si>
    <t>Technische Universität Bergakademie Freiberg</t>
  </si>
  <si>
    <t>Albert-Ludwig-Universität Freiburg</t>
  </si>
  <si>
    <t>Pädagogische Hochschule Freiburg</t>
  </si>
  <si>
    <t>Katholische Hochschule Freiburg gGmbH</t>
  </si>
  <si>
    <t>Hochschule Weihenstephan-Triesdorf</t>
  </si>
  <si>
    <t>Zeppelin Universität gGmbH</t>
  </si>
  <si>
    <t>Hochschule Fulda-University of Applied Sciences</t>
  </si>
  <si>
    <t>Hochschule Furtwangen</t>
  </si>
  <si>
    <t>Fachhochschule für öffentliche Verwaltung NRW</t>
  </si>
  <si>
    <t>Westfälische Hochschule Gelsenkirchen, Bocholt, Recklinghausen</t>
  </si>
  <si>
    <t>SRH Hochschule für Gesundheit</t>
  </si>
  <si>
    <t>Justus-Liebig-Universität Gießen</t>
  </si>
  <si>
    <t>Technische Hochschule Mittelhessen</t>
  </si>
  <si>
    <t>D  GIESSEN03</t>
  </si>
  <si>
    <t>Freie Theologische Hochschule Gießen</t>
  </si>
  <si>
    <t>Georg-August-Universität Göttingen</t>
  </si>
  <si>
    <t>Gesellschaft für praxisbezogene Forschung und wissenschaftliche Lehre gGmbH</t>
  </si>
  <si>
    <t>Fernuniversität in Hagen</t>
  </si>
  <si>
    <t>Martin-Luther-Universität Halle-Wittenberg</t>
  </si>
  <si>
    <t>Burg Giebichenstein Kunsthochschule Halle</t>
  </si>
  <si>
    <t>Universität Hamburg</t>
  </si>
  <si>
    <t>Technische Universität Hamburg</t>
  </si>
  <si>
    <t>Hochschule für Musik und Theater Hamburg</t>
  </si>
  <si>
    <t>Hochschule für angewandte Wissenschaften</t>
  </si>
  <si>
    <t>Hafencity Universität Hamburg</t>
  </si>
  <si>
    <t>EBC Euro-Business-College GmbH</t>
  </si>
  <si>
    <t>Evangelische hochschule für soziale Arbeit &amp; Diakonie Hamburg</t>
  </si>
  <si>
    <t>Kühne Logisitics University - Wissenschaftliche Hochschule für Logistik und Unternehmensführung</t>
  </si>
  <si>
    <t>Hochschule Hamm-Lippstadt</t>
  </si>
  <si>
    <t>Gottfried Wilhelm Leibniz Universität Hannover</t>
  </si>
  <si>
    <t>Medizinische Hochschule Hannover</t>
  </si>
  <si>
    <t>Stiftung Tierärztliche Hochschule Hannover</t>
  </si>
  <si>
    <t>Hochschule für Musik und Theater Hannover</t>
  </si>
  <si>
    <t>Hochschule Hannover</t>
  </si>
  <si>
    <t>Bildungszentrum für Informationsverarbeitende Berufe, gemeinnützige GmbH</t>
  </si>
  <si>
    <t>Ruprecht-Karls-Universität Heidelberg</t>
  </si>
  <si>
    <t>Pädagogische Hochschule Heidelberg</t>
  </si>
  <si>
    <t>SRH Hochschule Heidelberg Staatlich Anerkannte Hochschule der SRH Hochschulen GmbH</t>
  </si>
  <si>
    <t>D  HEIDELB99_K</t>
  </si>
  <si>
    <t>Hochschule Heilbronn</t>
  </si>
  <si>
    <t>Stiftung Universität Hildesheim</t>
  </si>
  <si>
    <t>HAWK Hochschule Hildesheim/Holzminden/Göttingen</t>
  </si>
  <si>
    <t>Hochschule für angewandte Wissenschaften Hof</t>
  </si>
  <si>
    <t>Technische Universität Ilmenau</t>
  </si>
  <si>
    <t>Technische Hochschule Ingolstadt</t>
  </si>
  <si>
    <t>Fachhochschule Südwestfalen</t>
  </si>
  <si>
    <t>Friedrich-Schiller-Universität Jena</t>
  </si>
  <si>
    <t>Ernst-Abbe-Hochschule Jena</t>
  </si>
  <si>
    <t>Technische Universität Kaiserslautern</t>
  </si>
  <si>
    <t>Hochschule Kaiserslautern</t>
  </si>
  <si>
    <t>Karlsruher Institut für Technologie</t>
  </si>
  <si>
    <t>Pädagogische Hochschule Karlsruhe</t>
  </si>
  <si>
    <t>Hochschule für Musik Karlsruhe</t>
  </si>
  <si>
    <t>Hochschule Karlsruhe - Technik und Wirtschaft</t>
  </si>
  <si>
    <t>Universität Kassel</t>
  </si>
  <si>
    <t>CVJM-Hochschule - YMCA University of applied sciences</t>
  </si>
  <si>
    <t>Hochschule für angewandte Wissenschaften Fachhochschule Kempten</t>
  </si>
  <si>
    <t>Institut für Fremdsprachenberufe Kempten</t>
  </si>
  <si>
    <t>Christian-Albrechts-Universität zu Kiel</t>
  </si>
  <si>
    <t>Fachhochschule Kiel</t>
  </si>
  <si>
    <t>Muthesius Kunsthochschule</t>
  </si>
  <si>
    <t>Hochschule Rhein-Waal - Rhine-Waal University of Applied Sciences</t>
  </si>
  <si>
    <t>D  KOBLENZ01</t>
  </si>
  <si>
    <t>Hochschule Koblenz</t>
  </si>
  <si>
    <t>Universität Koblenz-Landau</t>
  </si>
  <si>
    <t>Universität zu Köln</t>
  </si>
  <si>
    <t>Deutsche Sporthochschule Köln</t>
  </si>
  <si>
    <t>Technische Hochschule Köln</t>
  </si>
  <si>
    <t>Katholische Fachhochschule Nordrhein-Westfalen</t>
  </si>
  <si>
    <t>Universität Konstanz</t>
  </si>
  <si>
    <t>Hochschule Konstanz Technik Wirtschaft und Gestaltung</t>
  </si>
  <si>
    <t>Hochschule Anhalt</t>
  </si>
  <si>
    <t>Hochschule Niederrhein</t>
  </si>
  <si>
    <t>Hochschule Landshut - Hochschule für angewandte Wissenschaften</t>
  </si>
  <si>
    <t>Universität Leipzig</t>
  </si>
  <si>
    <t>Hochschule für Technik Wirtschaft und Kultur Leipzig</t>
  </si>
  <si>
    <t>Hochschule für Grafik und Buchkunst Leipzig/ Academy of visual Arts</t>
  </si>
  <si>
    <t>Hochschule für Musik und Theater "Felix Mendelssohn Bartholdy" Leipzig</t>
  </si>
  <si>
    <t>HHL gemeinnützige GmbH</t>
  </si>
  <si>
    <t>Duale Hochschule Baden Württemberg Lörrach</t>
  </si>
  <si>
    <t>Universität zu Lübeck</t>
  </si>
  <si>
    <t>Fachhochschule Lübeck</t>
  </si>
  <si>
    <t>Pädagogische Hochschule Ludwigsburg</t>
  </si>
  <si>
    <t>Hochschule für öffentliche Verwaltung und Finanzen Ludwigsburg</t>
  </si>
  <si>
    <t>Leuphana Universität Lüneburg</t>
  </si>
  <si>
    <t>Otto-von-Guericke-Universität Magdeburg</t>
  </si>
  <si>
    <t>Hochschule Magdeburg-Stendal FH</t>
  </si>
  <si>
    <t>Johannes Gutenberg-Universität Mainz</t>
  </si>
  <si>
    <t>Universität Mannheim</t>
  </si>
  <si>
    <t>Hochschule Mannheim</t>
  </si>
  <si>
    <t>Hochschule der Bundesagentur für Arbeit</t>
  </si>
  <si>
    <t>Philipps Universität Marburg</t>
  </si>
  <si>
    <t>D  MARBURG03</t>
  </si>
  <si>
    <t>Stiftung Studien- und Lebensgemeinschaft Tabor</t>
  </si>
  <si>
    <t>Hochschule Merseburg</t>
  </si>
  <si>
    <t>Hochschule Mittweida (FH)</t>
  </si>
  <si>
    <t>Hochschule Ruhr West</t>
  </si>
  <si>
    <t>Ludwig-Maximilians-Universität München</t>
  </si>
  <si>
    <t>Technische Universität München</t>
  </si>
  <si>
    <t>Hochschule für angewandte Wissenschaften München</t>
  </si>
  <si>
    <t>Katholische Stiftungshochschule München KSH</t>
  </si>
  <si>
    <t>Hochschule für den öffentlichen Dienst in Bayern</t>
  </si>
  <si>
    <t>Universität der Bundeswehr München</t>
  </si>
  <si>
    <t>Sprachen- und Dolmetscher-Institut München e.V.</t>
  </si>
  <si>
    <t>Fremdspracheninstitut LHM- Fachakademie für Übersetzen und Dolmetschen</t>
  </si>
  <si>
    <t>D  MUNCHEN16</t>
  </si>
  <si>
    <t>Theaterakademie August Everding</t>
  </si>
  <si>
    <t>Westfälische Wilhelms Universität Münster</t>
  </si>
  <si>
    <t>Fachhochschule Münster</t>
  </si>
  <si>
    <t>D  MUNSTER06</t>
  </si>
  <si>
    <t>Deutsche Hochschule der Polizei</t>
  </si>
  <si>
    <t>Hochschule Neubrandenburg</t>
  </si>
  <si>
    <t>Hochschule Nordhausen</t>
  </si>
  <si>
    <t>Technische Hochschule Nürnberg Georg Simon Ohm</t>
  </si>
  <si>
    <t>Hochschule für Musik Nürnberg</t>
  </si>
  <si>
    <t>Hochschule für Wirtschaft und Umwelt Nürtingen-Geislingen</t>
  </si>
  <si>
    <t>Hochschule Offenburg</t>
  </si>
  <si>
    <t>Carl von Ossietzky Universität Oldenburg</t>
  </si>
  <si>
    <t>Universität Osnabrück</t>
  </si>
  <si>
    <t>Stiftung Fachhochschule Osnabrück</t>
  </si>
  <si>
    <t>Universität Paderborn</t>
  </si>
  <si>
    <t>Theologische Fakultät Paderborn</t>
  </si>
  <si>
    <t>Universität Passau</t>
  </si>
  <si>
    <t>Universität Potsdam</t>
  </si>
  <si>
    <t>D  POTSDAM02</t>
  </si>
  <si>
    <t>Filmuniversität Babelsberg KONRAD WOLF</t>
  </si>
  <si>
    <t>Fachhochschule Potsdam</t>
  </si>
  <si>
    <t>D  POTSDAM04</t>
  </si>
  <si>
    <t>BSP Business School Berlin GmbH</t>
  </si>
  <si>
    <t>Hochschule Ravensburg-Weingarten</t>
  </si>
  <si>
    <t>Universität Regensburg</t>
  </si>
  <si>
    <t>Ostbayerische Technische Hochschule Regensburg</t>
  </si>
  <si>
    <t>Hochschule für Katholische Kirchenmusik und Musikpädagogik Regensburg</t>
  </si>
  <si>
    <t>Fachhochschule Reutlingen</t>
  </si>
  <si>
    <t>SRH Fernhochschule</t>
  </si>
  <si>
    <t>Technische Hochschule Rosenheim</t>
  </si>
  <si>
    <t>Universität Rostock</t>
  </si>
  <si>
    <t>Hochschule für Forstwirtschaft Rottenburg</t>
  </si>
  <si>
    <t>Universität des Saarlandes</t>
  </si>
  <si>
    <t>Fachhochschule Schmalkalden</t>
  </si>
  <si>
    <t>Pädagogische Hochschule Schwäbisch Gmünd</t>
  </si>
  <si>
    <t>Hochschule für Gestaltung Schwabisch Gmünd</t>
  </si>
  <si>
    <t>Universität Siegen</t>
  </si>
  <si>
    <t>Fachhochschule Albstadt-Sigmaringen</t>
  </si>
  <si>
    <t>German University of Administrative Sciences</t>
  </si>
  <si>
    <t>Fachhochschule Stralsund</t>
  </si>
  <si>
    <t>Universität Stuttgart</t>
  </si>
  <si>
    <t>Universität Hohenheim</t>
  </si>
  <si>
    <t>Staatliche Hochschule für Musik und dastellende Kunst Stuttgart</t>
  </si>
  <si>
    <t>Hochschule für Technik Stuttgart</t>
  </si>
  <si>
    <t>Hochschule der Medien</t>
  </si>
  <si>
    <t>Merz Akademie gGmbH</t>
  </si>
  <si>
    <t>Duale Hochschule Baden-Württemberg</t>
  </si>
  <si>
    <t>D  STUTTGA13</t>
  </si>
  <si>
    <t>Freie Hochschule Stuttgart Seminar für Waldorfpädagogik</t>
  </si>
  <si>
    <t>Universität Trier</t>
  </si>
  <si>
    <t>Eberhard Karls Universität Tübingen</t>
  </si>
  <si>
    <t>Universität Ulm</t>
  </si>
  <si>
    <t>Hochschule für angewandte Wissenschaften Neu-Ulm</t>
  </si>
  <si>
    <t>Universität Vechta</t>
  </si>
  <si>
    <t>Bauhaus-Universität Weimar</t>
  </si>
  <si>
    <t>Hochschule für Musik Franz Liszt Weimar</t>
  </si>
  <si>
    <t>Pädagogische Hochschule Weingarten</t>
  </si>
  <si>
    <t>Hochschule Harz</t>
  </si>
  <si>
    <t>Hochschule Geisenheim</t>
  </si>
  <si>
    <t>Technische Hochschule Wildau</t>
  </si>
  <si>
    <t>Jade Hochschule Wilhelmshaven/Oldenburg/Elsfleth</t>
  </si>
  <si>
    <t>Hochschule Wismar</t>
  </si>
  <si>
    <t>Private Universität Witten/Herde gGmbH</t>
  </si>
  <si>
    <t>Ostfalia Hochschule für angewandte Wissenschaften Hochschule Braunschweig Wolfenbüttel</t>
  </si>
  <si>
    <t>Hochschule Worms</t>
  </si>
  <si>
    <t>Bergische Universität Wuppertal</t>
  </si>
  <si>
    <t>Julius-Maximilians Universität Würzburg</t>
  </si>
  <si>
    <t>Hochschule für angewandte Wissenschaften Würzburg-Schweinfurt</t>
  </si>
  <si>
    <t>Hochschule Zittau-Görlitz</t>
  </si>
  <si>
    <t>Westsächsische Hochschule Zwickau</t>
  </si>
  <si>
    <t>Sonst Summe aus Zeile 3</t>
  </si>
  <si>
    <t>Bei einem "Antrag auf zusätzliche Mittel" unten durch Klicken aus dem Drop-Down-Menü wählen.</t>
  </si>
  <si>
    <r>
      <t xml:space="preserve">Personalmobilität: Mobilität zu Unterrichtszwecken </t>
    </r>
    <r>
      <rPr>
        <b/>
        <sz val="9"/>
        <color theme="1"/>
        <rFont val="Calibri"/>
        <family val="2"/>
        <scheme val="minor"/>
      </rPr>
      <t>(STA)</t>
    </r>
  </si>
  <si>
    <r>
      <t xml:space="preserve">Personalmobilität: Mobilität zu Fort- und Weiterbildungs- zwecken </t>
    </r>
    <r>
      <rPr>
        <b/>
        <sz val="9"/>
        <color theme="1"/>
        <rFont val="Calibri"/>
        <family val="2"/>
        <scheme val="minor"/>
      </rPr>
      <t>(STT)</t>
    </r>
  </si>
  <si>
    <t>Gedeckelte OS nach ZB, außer wenn Summe Personen achiev und planned 0</t>
  </si>
  <si>
    <t>Erasmus-Code</t>
  </si>
  <si>
    <t>2019-1-DE01-KA103-004641</t>
  </si>
  <si>
    <t>2019-1-DE01-KA103-004494</t>
  </si>
  <si>
    <t>2019-1-DE01-KA103-004514</t>
  </si>
  <si>
    <t>2019-1-DE01-KA103-004410</t>
  </si>
  <si>
    <t>2019-1-DE01-KA103-004375</t>
  </si>
  <si>
    <t>2019-1-DE01-KA103-004665</t>
  </si>
  <si>
    <t>2019-1-DE01-KA103-004765</t>
  </si>
  <si>
    <t>2019-1-DE01-KA103-004464</t>
  </si>
  <si>
    <t>2019-1-DE01-KA103-004414</t>
  </si>
  <si>
    <t>2019-1-DE01-KA103-004368</t>
  </si>
  <si>
    <t>2019-1-DE01-KA103-004628</t>
  </si>
  <si>
    <t>2019-1-DE01-KA103-004484</t>
  </si>
  <si>
    <t>2019-1-DE01-KA103-004321</t>
  </si>
  <si>
    <t>2019-1-DE01-KA103-004367</t>
  </si>
  <si>
    <t>2019-1-DE01-KA103-004446</t>
  </si>
  <si>
    <t>2019-1-DE01-KA103-004485</t>
  </si>
  <si>
    <t>2019-1-DE01-KA103-004619</t>
  </si>
  <si>
    <t>2019-1-DE01-KA103-004320</t>
  </si>
  <si>
    <t>2019-1-DE01-KA103-004686</t>
  </si>
  <si>
    <t>2019-1-DE01-KA103-004500</t>
  </si>
  <si>
    <t>2019-1-DE01-KA103-004561</t>
  </si>
  <si>
    <t>2019-1-DE01-KA103-004363</t>
  </si>
  <si>
    <t>2019-1-DE01-KA103-004543</t>
  </si>
  <si>
    <t>2019-1-DE01-KA103-004631</t>
  </si>
  <si>
    <t>2019-1-DE01-KA103-004832</t>
  </si>
  <si>
    <t>2019-1-DE01-KA103-004394</t>
  </si>
  <si>
    <t>2019-1-DE01-KA103-004451</t>
  </si>
  <si>
    <t>2019-1-DE01-KA103-004835</t>
  </si>
  <si>
    <t>D  BERLIN21</t>
  </si>
  <si>
    <t>2019-1-DE01-KA103-004830</t>
  </si>
  <si>
    <t>2019-1-DE01-KA103-004855</t>
  </si>
  <si>
    <t>2019-1-DE01-KA103-004827</t>
  </si>
  <si>
    <t>2019-1-DE01-KA103-004487</t>
  </si>
  <si>
    <t>2019-1-DE01-KA103-004488</t>
  </si>
  <si>
    <t>2019-1-DE01-KA103-004825</t>
  </si>
  <si>
    <t>2019-1-DE01-KA103-004896</t>
  </si>
  <si>
    <t>D  BERLIN37</t>
  </si>
  <si>
    <t>2019-1-DE01-KA103-004474</t>
  </si>
  <si>
    <t>2019-1-DE01-KA103-004689</t>
  </si>
  <si>
    <t>D  BERLIN39</t>
  </si>
  <si>
    <t>2019-1-DE01-KA103-004527</t>
  </si>
  <si>
    <t>2019-1-DE01-KA103-004448</t>
  </si>
  <si>
    <t>D  BERLIN43</t>
  </si>
  <si>
    <t>2019-1-DE01-KA103-004769</t>
  </si>
  <si>
    <t>2019-1-DE01-KA103-004589</t>
  </si>
  <si>
    <t>2019-1-DE01-KA103-004419</t>
  </si>
  <si>
    <t>2019-1-DE01-KA103-004350</t>
  </si>
  <si>
    <t>2019-1-DE01-KA103-004596</t>
  </si>
  <si>
    <t>D  BIELEFE06</t>
  </si>
  <si>
    <t>2019-1-DE01-KA103-004535</t>
  </si>
  <si>
    <t>2019-1-DE01-KA103-004507</t>
  </si>
  <si>
    <t>2019-1-DE01-KA103-004477</t>
  </si>
  <si>
    <t>2019-1-DE01-KA103-004506</t>
  </si>
  <si>
    <t>2019-1-DE01-KA103-004352</t>
  </si>
  <si>
    <t>2019-1-DE01-KA103-004391</t>
  </si>
  <si>
    <t>2019-1-DE01-KA103-004716</t>
  </si>
  <si>
    <t>2019-1-DE01-KA103-004529</t>
  </si>
  <si>
    <t>2019-1-DE01-KA103-004348</t>
  </si>
  <si>
    <t>2019-1-DE01-KA103-004345</t>
  </si>
  <si>
    <t>2019-1-DE01-KA103-004382</t>
  </si>
  <si>
    <t>2019-1-DE01-KA103-004799</t>
  </si>
  <si>
    <t>2019-1-DE01-KA103-004422</t>
  </si>
  <si>
    <t>2019-1-DE01-KA103-004480</t>
  </si>
  <si>
    <t>2019-1-DE01-KA103-004914</t>
  </si>
  <si>
    <t>2019-1-DE01-KA103-004821</t>
  </si>
  <si>
    <t>2019-1-DE01-KA103-004505</t>
  </si>
  <si>
    <t>2019-1-DE01-KA103-004341</t>
  </si>
  <si>
    <t>2019-1-DE01-KA103-004682</t>
  </si>
  <si>
    <t>D  BRUHL02</t>
  </si>
  <si>
    <t>2019-1-DE01-KA103-004671</t>
  </si>
  <si>
    <t>2019-1-DE01-KA103-004734</t>
  </si>
  <si>
    <t>2019-1-DE01-KA103-004407</t>
  </si>
  <si>
    <t>2019-1-DE01-KA103-004447</t>
  </si>
  <si>
    <t>2019-1-DE01-KA103-004581</t>
  </si>
  <si>
    <t>2019-1-DE01-KA103-004456</t>
  </si>
  <si>
    <t>2019-1-DE01-KA103-004399</t>
  </si>
  <si>
    <t>2019-1-DE01-KA103-004482</t>
  </si>
  <si>
    <t>2019-1-DE01-KA103-004469</t>
  </si>
  <si>
    <t>2019-1-DE01-KA103-004344</t>
  </si>
  <si>
    <t>2019-1-DE01-KA103-004316</t>
  </si>
  <si>
    <t>2019-1-DE01-KA103-004778</t>
  </si>
  <si>
    <t>2019-1-DE01-KA103-004315</t>
  </si>
  <si>
    <t>2019-1-DE01-KA103-004711</t>
  </si>
  <si>
    <t>2019-1-DE01-KA103-004325</t>
  </si>
  <si>
    <t>2019-1-DE01-KA103-004520</t>
  </si>
  <si>
    <t>2019-1-DE01-KA103-004732</t>
  </si>
  <si>
    <t>2019-1-DE01-KA103-004713</t>
  </si>
  <si>
    <t>2019-1-DE01-KA103-004545</t>
  </si>
  <si>
    <t>2019-1-DE01-KA103-004640</t>
  </si>
  <si>
    <t>2019-1-DE01-KA103-004413</t>
  </si>
  <si>
    <t>2019-1-DE01-KA103-004318</t>
  </si>
  <si>
    <t>2019-1-DE01-KA103-004559</t>
  </si>
  <si>
    <t>2019-1-DE01-KA103-004501</t>
  </si>
  <si>
    <t>2019-1-DE01-KA103-004890</t>
  </si>
  <si>
    <t>2019-1-DE01-KA103-004673</t>
  </si>
  <si>
    <t>2019-1-DE01-KA103-004722</t>
  </si>
  <si>
    <t>2019-1-DE01-KA103-004378</t>
  </si>
  <si>
    <t>2019-1-DE01-KA103-004591</t>
  </si>
  <si>
    <t>2019-1-DE01-KA103-004335</t>
  </si>
  <si>
    <t>2019-1-DE01-KA103-004712</t>
  </si>
  <si>
    <t>2019-1-DE01-KA103-004359</t>
  </si>
  <si>
    <t>2019-1-DE01-KA103-004396</t>
  </si>
  <si>
    <t>2019-1-DE01-KA103-004304</t>
  </si>
  <si>
    <t>2019-1-DE01-KA103-004564</t>
  </si>
  <si>
    <t>2019-1-DE01-KA103-004552</t>
  </si>
  <si>
    <t>2019-1-DE01-KA103-004880</t>
  </si>
  <si>
    <t>2019-1-DE01-KA103-004704</t>
  </si>
  <si>
    <t>2019-1-DE01-KA103-004613</t>
  </si>
  <si>
    <t>D  ESSEN05</t>
  </si>
  <si>
    <t>2019-1-DE01-KA103-004783</t>
  </si>
  <si>
    <t>2019-1-DE01-KA103-004416</t>
  </si>
  <si>
    <t>2019-1-DE01-KA103-004436</t>
  </si>
  <si>
    <t>2019-1-DE01-KA103-004478</t>
  </si>
  <si>
    <t>2019-1-DE01-KA103-004745</t>
  </si>
  <si>
    <t>2019-1-DE01-KA103-004570</t>
  </si>
  <si>
    <t>D  FRANKFU03</t>
  </si>
  <si>
    <t>2019-1-DE01-KA103-004537</t>
  </si>
  <si>
    <t>2019-1-DE01-KA103-004511</t>
  </si>
  <si>
    <t>2019-1-DE01-KA103-004462</t>
  </si>
  <si>
    <t>2019-1-DE01-KA103-004428</t>
  </si>
  <si>
    <t>2019-1-DE01-KA103-004531</t>
  </si>
  <si>
    <t>2019-1-DE01-KA103-004885</t>
  </si>
  <si>
    <t>2019-1-DE01-KA103-004575</t>
  </si>
  <si>
    <t>2019-1-DE01-KA103-004401</t>
  </si>
  <si>
    <t>2019-1-DE01-KA103-004323</t>
  </si>
  <si>
    <t>2019-1-DE01-KA103-004431</t>
  </si>
  <si>
    <t>2019-1-DE01-KA103-004429</t>
  </si>
  <si>
    <t>2019-1-DE01-KA103-004459</t>
  </si>
  <si>
    <t>2019-1-DE01-KA103-004420</t>
  </si>
  <si>
    <t>2019-1-DE01-KA103-004467</t>
  </si>
  <si>
    <t>2019-1-DE01-KA103-004430</t>
  </si>
  <si>
    <t>2019-1-DE01-KA103-004519</t>
  </si>
  <si>
    <t>2019-1-DE01-KA103-004495</t>
  </si>
  <si>
    <t>2019-1-DE01-KA103-004369</t>
  </si>
  <si>
    <t>2019-1-DE01-KA103-004625</t>
  </si>
  <si>
    <t>2019-1-DE01-KA103-004656</t>
  </si>
  <si>
    <t>2019-1-DE01-KA103-004684</t>
  </si>
  <si>
    <t>2019-1-DE01-KA103-004301</t>
  </si>
  <si>
    <t>2019-1-DE01-KA103-004882</t>
  </si>
  <si>
    <t>2019-1-DE01-KA103-004784</t>
  </si>
  <si>
    <t>2019-1-DE01-KA103-004770</t>
  </si>
  <si>
    <t>2019-1-DE01-KA103-004723</t>
  </si>
  <si>
    <t>2019-1-DE01-KA103-004374</t>
  </si>
  <si>
    <t>2019-1-DE01-KA103-004361</t>
  </si>
  <si>
    <t>2019-1-DE01-KA103-004439</t>
  </si>
  <si>
    <t>2019-1-DE01-KA103-004690</t>
  </si>
  <si>
    <t>2019-1-DE01-KA103-004481</t>
  </si>
  <si>
    <t>2019-1-DE01-KA103-004764</t>
  </si>
  <si>
    <t>2019-1-DE01-KA103-004405</t>
  </si>
  <si>
    <t>2019-1-DE01-KA103-004738</t>
  </si>
  <si>
    <t>2019-1-DE01-KA103-004750</t>
  </si>
  <si>
    <t>2019-1-DE01-KA103-004465</t>
  </si>
  <si>
    <t>2019-1-DE01-KA103-004881</t>
  </si>
  <si>
    <t>2019-1-DE01-KA103-004538</t>
  </si>
  <si>
    <t>2019-1-DE01-KA103-004454</t>
  </si>
  <si>
    <t>2019-1-DE01-KA103-004736</t>
  </si>
  <si>
    <t>2019-1-DE01-KA103-004434</t>
  </si>
  <si>
    <t>2019-1-DE01-KA103-004473</t>
  </si>
  <si>
    <t>2019-1-DE01-KA103-004597</t>
  </si>
  <si>
    <t>2019-1-DE01-KA103-004536</t>
  </si>
  <si>
    <t>2019-1-DE01-KA103-004607</t>
  </si>
  <si>
    <t>2019-1-DE01-KA103-004587</t>
  </si>
  <si>
    <t>2019-1-DE01-KA103-004440</t>
  </si>
  <si>
    <t>2019-1-DE01-KA103-004376</t>
  </si>
  <si>
    <t>2019-1-DE01-KA103-004353</t>
  </si>
  <si>
    <t>2019-1-DE01-KA103-004510</t>
  </si>
  <si>
    <t>2019-1-DE01-KA103-004611</t>
  </si>
  <si>
    <t>2019-1-DE01-KA103-004432</t>
  </si>
  <si>
    <t>2019-1-DE01-KA103-004406</t>
  </si>
  <si>
    <t>2019-1-DE01-KA103-004728</t>
  </si>
  <si>
    <t>2019-1-DE01-KA103-004366</t>
  </si>
  <si>
    <t>2019-1-DE01-KA103-004461</t>
  </si>
  <si>
    <t>2019-1-DE01-KA103-004395</t>
  </si>
  <si>
    <t>2019-1-DE01-KA103-004516</t>
  </si>
  <si>
    <t>2019-1-DE01-KA103-004300</t>
  </si>
  <si>
    <t>2019-1-DE01-KA103-004441</t>
  </si>
  <si>
    <t>2019-1-DE01-KA103-004377</t>
  </si>
  <si>
    <t>2019-1-DE01-KA103-004380</t>
  </si>
  <si>
    <t>2019-1-DE01-KA103-004472</t>
  </si>
  <si>
    <t>2019-1-DE01-KA103-004588</t>
  </si>
  <si>
    <t>2019-1-DE01-KA103-004517</t>
  </si>
  <si>
    <t>2019-1-DE01-KA103-004427</t>
  </si>
  <si>
    <t>2019-1-DE01-KA103-004848</t>
  </si>
  <si>
    <t>D  ISERLOH02</t>
  </si>
  <si>
    <t>2019-1-DE01-KA103-004758</t>
  </si>
  <si>
    <t>2019-1-DE01-KA103-004379</t>
  </si>
  <si>
    <t>2019-1-DE01-KA103-004362</t>
  </si>
  <si>
    <t>2019-1-DE01-KA103-004471</t>
  </si>
  <si>
    <t>2019-1-DE01-KA103-004808</t>
  </si>
  <si>
    <t>2019-1-DE01-KA103-004891</t>
  </si>
  <si>
    <t>2019-1-DE01-KA103-004652</t>
  </si>
  <si>
    <t>2019-1-DE01-KA103-004306</t>
  </si>
  <si>
    <t>2019-1-DE01-KA103-004550</t>
  </si>
  <si>
    <t>2019-1-DE01-KA103-004336</t>
  </si>
  <si>
    <t>2019-1-DE01-KA103-004397</t>
  </si>
  <si>
    <t>2019-1-DE01-KA103-004555</t>
  </si>
  <si>
    <t>2019-1-DE01-KA103-004372</t>
  </si>
  <si>
    <t>2019-1-DE01-KA103-004816</t>
  </si>
  <si>
    <t>2019-1-DE01-KA103-004466</t>
  </si>
  <si>
    <t>2019-1-DE01-KA103-004533</t>
  </si>
  <si>
    <t>2019-1-DE01-KA103-004609</t>
  </si>
  <si>
    <t>2019-1-DE01-KA103-004360</t>
  </si>
  <si>
    <t>2019-1-DE01-KA103-004616</t>
  </si>
  <si>
    <t>D  KIEL04</t>
  </si>
  <si>
    <t>2019-1-DE01-KA103-004332</t>
  </si>
  <si>
    <t>2019-1-DE01-KA103-004593</t>
  </si>
  <si>
    <t>2019-1-DE01-KA103-004383</t>
  </si>
  <si>
    <t>2019-1-DE01-KA103-004400</t>
  </si>
  <si>
    <t>2019-1-DE01-KA103-004681</t>
  </si>
  <si>
    <t>2019-1-DE01-KA103-004358</t>
  </si>
  <si>
    <t>2019-1-DE01-KA103-004305</t>
  </si>
  <si>
    <t>2019-1-DE01-KA103-004337</t>
  </si>
  <si>
    <t>2019-1-DE01-KA103-004767</t>
  </si>
  <si>
    <t>2019-1-DE01-KA103-004791</t>
  </si>
  <si>
    <t>2019-1-DE01-KA103-004813</t>
  </si>
  <si>
    <t>2019-1-DE01-KA103-004540</t>
  </si>
  <si>
    <t>2019-1-DE01-KA103-004390</t>
  </si>
  <si>
    <t>2019-1-DE01-KA103-004356</t>
  </si>
  <si>
    <t>2019-1-DE01-KA103-004509</t>
  </si>
  <si>
    <t>2019-1-DE01-KA103-004327</t>
  </si>
  <si>
    <t>2019-1-DE01-KA103-004811</t>
  </si>
  <si>
    <t>2019-1-DE01-KA103-004560</t>
  </si>
  <si>
    <t>2019-1-DE01-KA103-004547</t>
  </si>
  <si>
    <t>2019-1-DE01-KA103-004551</t>
  </si>
  <si>
    <t>2019-1-DE01-KA103-004655</t>
  </si>
  <si>
    <t>2019-1-DE01-KA103-004311</t>
  </si>
  <si>
    <t>2019-1-DE01-KA103-004836</t>
  </si>
  <si>
    <t>2019-1-DE01-KA103-004626</t>
  </si>
  <si>
    <t>2019-1-DE01-KA103-004542</t>
  </si>
  <si>
    <t>2019-1-DE01-KA103-004404</t>
  </si>
  <si>
    <t>2019-1-DE01-KA103-004444</t>
  </si>
  <si>
    <t>2019-1-DE01-KA103-004463</t>
  </si>
  <si>
    <t>2019-1-DE01-KA103-004339</t>
  </si>
  <si>
    <t>2019-1-DE01-KA103-004371</t>
  </si>
  <si>
    <t>2019-1-DE01-KA103-004309</t>
  </si>
  <si>
    <t>2019-1-DE01-KA103-004549</t>
  </si>
  <si>
    <t>2019-1-DE01-KA103-004706</t>
  </si>
  <si>
    <t>2019-1-DE01-KA103-004744</t>
  </si>
  <si>
    <t>2019-1-DE01-KA103-004532</t>
  </si>
  <si>
    <t>2019-1-DE01-KA103-004503</t>
  </si>
  <si>
    <t>D  MAGDEBU05</t>
  </si>
  <si>
    <t>2019-1-DE01-KA103-004793</t>
  </si>
  <si>
    <t>2019-1-DE01-KA103-004747</t>
  </si>
  <si>
    <t>2019-1-DE01-KA103-004437</t>
  </si>
  <si>
    <t>2019-1-DE01-KA103-004468</t>
  </si>
  <si>
    <t>2019-1-DE01-KA103-004433</t>
  </si>
  <si>
    <t>2019-1-DE01-KA103-004629</t>
  </si>
  <si>
    <t>D  MANNHEI02</t>
  </si>
  <si>
    <t>2019-1-DE01-KA103-004388</t>
  </si>
  <si>
    <t>2019-1-DE01-KA103-004592</t>
  </si>
  <si>
    <t>2019-1-DE01-KA103-004814</t>
  </si>
  <si>
    <t>2019-1-DE01-KA103-004389</t>
  </si>
  <si>
    <t>2019-1-DE01-KA103-004568</t>
  </si>
  <si>
    <t>2019-1-DE01-KA103-004742</t>
  </si>
  <si>
    <t>2019-1-DE01-KA103-004308</t>
  </si>
  <si>
    <t>2019-1-DE01-KA103-004303</t>
  </si>
  <si>
    <t>2019-1-DE01-KA103-004668</t>
  </si>
  <si>
    <t>D  MORITZB01</t>
  </si>
  <si>
    <t>2019-1-DE01-KA103-004387</t>
  </si>
  <si>
    <t>2019-1-DE01-KA103-004452</t>
  </si>
  <si>
    <t>2019-1-DE01-KA103-004524</t>
  </si>
  <si>
    <t>2019-1-DE01-KA103-004715</t>
  </si>
  <si>
    <t>2019-1-DE01-KA103-004521</t>
  </si>
  <si>
    <t>2019-1-DE01-KA103-004563</t>
  </si>
  <si>
    <t>2019-1-DE01-KA103-004502</t>
  </si>
  <si>
    <t>2019-1-DE01-KA103-004370</t>
  </si>
  <si>
    <t>2019-1-DE01-KA103-004319</t>
  </si>
  <si>
    <t>2019-1-DE01-KA103-004490</t>
  </si>
  <si>
    <t>2019-1-DE01-KA103-004565</t>
  </si>
  <si>
    <t>2019-1-DE01-KA103-004342</t>
  </si>
  <si>
    <t>2019-1-DE01-KA103-004796</t>
  </si>
  <si>
    <t>2019-1-DE01-KA103-004857</t>
  </si>
  <si>
    <t>2019-1-DE01-KA103-004676</t>
  </si>
  <si>
    <t>D  MUNCHEN17</t>
  </si>
  <si>
    <t>2019-1-DE01-KA103-004649</t>
  </si>
  <si>
    <t>2019-1-DE01-KA103-004438</t>
  </si>
  <si>
    <t>2019-1-DE01-KA103-004834</t>
  </si>
  <si>
    <t>2019-1-DE01-KA103-004354</t>
  </si>
  <si>
    <t>2019-1-DE01-KA103-004393</t>
  </si>
  <si>
    <t>2019-1-DE01-KA103-004632</t>
  </si>
  <si>
    <t>2019-1-DE01-KA103-004687</t>
  </si>
  <si>
    <t>2019-1-DE01-KA103-004340</t>
  </si>
  <si>
    <t>2019-1-DE01-KA103-004424</t>
  </si>
  <si>
    <t>2019-1-DE01-KA103-004829</t>
  </si>
  <si>
    <t>2019-1-DE01-KA103-004860</t>
  </si>
  <si>
    <t>2019-1-DE01-KA103-004642</t>
  </si>
  <si>
    <t>2019-1-DE01-KA103-004615</t>
  </si>
  <si>
    <t>2019-1-DE01-KA103-004322</t>
  </si>
  <si>
    <t>2019-1-DE01-KA103-004508</t>
  </si>
  <si>
    <t>2019-1-DE01-KA103-004412</t>
  </si>
  <si>
    <t>2019-1-DE01-KA103-004685</t>
  </si>
  <si>
    <t>2019-1-DE01-KA103-004496</t>
  </si>
  <si>
    <t>2019-1-DE01-KA103-004331</t>
  </si>
  <si>
    <t>2019-1-DE01-KA103-004584</t>
  </si>
  <si>
    <t>2019-1-DE01-KA103-004585</t>
  </si>
  <si>
    <t>2019-1-DE01-KA103-004314</t>
  </si>
  <si>
    <t>2019-1-DE01-KA103-004330</t>
  </si>
  <si>
    <t>2019-1-DE01-KA103-004774</t>
  </si>
  <si>
    <t>2019-1-DE01-KA103-004842</t>
  </si>
  <si>
    <t>2019-1-DE01-KA103-004726</t>
  </si>
  <si>
    <t>2019-1-DE01-KA103-004460</t>
  </si>
  <si>
    <t>2019-1-DE01-KA103-004639</t>
  </si>
  <si>
    <t>2019-1-DE01-KA103-004385</t>
  </si>
  <si>
    <t>2019-1-DE01-KA103-004610</t>
  </si>
  <si>
    <t>2019-1-DE01-KA103-004486</t>
  </si>
  <si>
    <t>2019-1-DE01-KA103-004445</t>
  </si>
  <si>
    <t>2019-1-DE01-KA103-004403</t>
  </si>
  <si>
    <t>2019-1-DE01-KA103-004373</t>
  </si>
  <si>
    <t>2019-1-DE01-KA103-004601</t>
  </si>
  <si>
    <t>2019-1-DE01-KA103-004612</t>
  </si>
  <si>
    <t>2019-1-DE01-KA103-004513</t>
  </si>
  <si>
    <t>2019-1-DE01-KA103-004381</t>
  </si>
  <si>
    <t>2019-1-DE01-KA103-004666</t>
  </si>
  <si>
    <t>2019-1-DE01-KA103-004633</t>
  </si>
  <si>
    <t>2019-1-DE01-KA103-004731</t>
  </si>
  <si>
    <t>2019-1-DE01-KA103-004349</t>
  </si>
  <si>
    <t>2019-1-DE01-KA103-004409</t>
  </si>
  <si>
    <t>2019-1-DE01-KA103-004569</t>
  </si>
  <si>
    <t>2019-1-DE01-KA103-004578</t>
  </si>
  <si>
    <t>2019-1-DE01-KA103-004753</t>
  </si>
  <si>
    <t>2019-1-DE01-KA103-004415</t>
  </si>
  <si>
    <t>2019-1-DE01-KA103-004733</t>
  </si>
  <si>
    <t>2019-1-DE01-KA103-004518</t>
  </si>
  <si>
    <t>2019-1-DE01-KA103-004913</t>
  </si>
  <si>
    <t>2019-1-DE01-KA103-004534</t>
  </si>
  <si>
    <t>2019-1-DE01-KA103-004754</t>
  </si>
  <si>
    <t>2019-1-DE01-KA103-004479</t>
  </si>
  <si>
    <t>2019-1-DE01-KA103-004343</t>
  </si>
  <si>
    <t>2019-1-DE01-KA103-004418</t>
  </si>
  <si>
    <t>2019-1-DE01-KA103-004697</t>
  </si>
  <si>
    <t>2019-1-DE01-KA103-004523</t>
  </si>
  <si>
    <t>2019-1-DE01-KA103-004627</t>
  </si>
  <si>
    <t>2019-1-DE01-KA103-004567</t>
  </si>
  <si>
    <t>2019-1-DE01-KA103-004357</t>
  </si>
  <si>
    <t>2019-1-DE01-KA103-004351</t>
  </si>
  <si>
    <t>2019-1-DE01-KA103-004453</t>
  </si>
  <si>
    <t>2019-1-DE01-KA103-004577</t>
  </si>
  <si>
    <t>2019-1-DE01-KA103-004603</t>
  </si>
  <si>
    <t>2019-1-DE01-KA103-004384</t>
  </si>
  <si>
    <t>2019-1-DE01-KA103-004654</t>
  </si>
  <si>
    <t>2019-1-DE01-KA103-004562</t>
  </si>
  <si>
    <t>2019-1-DE01-KA103-004586</t>
  </si>
  <si>
    <t>2019-1-DE01-KA103-004307</t>
  </si>
  <si>
    <t>2019-1-DE01-KA103-004759</t>
  </si>
  <si>
    <t>2019-1-DE01-KA103-004442</t>
  </si>
  <si>
    <t>2019-1-DE01-KA103-004493</t>
  </si>
  <si>
    <t>2019-1-DE01-KA103-004679</t>
  </si>
  <si>
    <t>2019-1-DE01-KA103-004425</t>
  </si>
  <si>
    <t>2019-1-DE01-KA103-004580</t>
  </si>
  <si>
    <t>2019-1-DE01-KA103-004421</t>
  </si>
  <si>
    <t>2019-1-DE01-KA103-004346</t>
  </si>
  <si>
    <t>2019-1-DE01-KA103-004548</t>
  </si>
  <si>
    <t>2019-1-DE01-KA103-004512</t>
  </si>
  <si>
    <t>2019-1-DE01-KA103-004554</t>
  </si>
  <si>
    <t>2019-1-DE01-KA103-004475</t>
  </si>
  <si>
    <t>2019-1-DE01-KA103-004696</t>
  </si>
  <si>
    <t>2019-1-DE01-KA103-004515</t>
  </si>
  <si>
    <t>2019-1-DE01-KA103-004334</t>
  </si>
  <si>
    <t>2019-1-DE01-KA103-004544</t>
  </si>
  <si>
    <t>2019-1-DE01-KA103-004702</t>
  </si>
  <si>
    <t>2019-1-DE01-KA103-004499</t>
  </si>
  <si>
    <t>Technische Hochschule Aschaffenburg</t>
  </si>
  <si>
    <t>SRH Hochschule Berlin GmbH</t>
  </si>
  <si>
    <t>DHGS Deutsche Hochschule für Gesundheit und Sport</t>
  </si>
  <si>
    <t>Akkon-Hochschule für Humanwissenschaften</t>
  </si>
  <si>
    <t>IB-Hochschule Berlin</t>
  </si>
  <si>
    <t>ESCP Europe Wirtschaftshochschule Berlin e.V.</t>
  </si>
  <si>
    <t>Fachhochschule der Diakonie</t>
  </si>
  <si>
    <t>Hochschule des Bundes für öffentliche Verwaltung</t>
  </si>
  <si>
    <t>HBK Essen gemeinnützige GmbH</t>
  </si>
  <si>
    <t>Staatliche Hochschule für Bildende Künste, Städelschule</t>
  </si>
  <si>
    <t>Universität Greifswald</t>
  </si>
  <si>
    <t>ABB Training Center GmbH &amp; Co. KG</t>
  </si>
  <si>
    <t>Business and Information Technology School GmbH</t>
  </si>
  <si>
    <t>Wirtschaftsakademie Schleswig-Holstein</t>
  </si>
  <si>
    <t>Technische Hochschule Ostwestfalen-Lippe</t>
  </si>
  <si>
    <t>Hochschule für Wirtschaft und Gesellschaft  Ludwigshafen</t>
  </si>
  <si>
    <t>Theologische Hochschule Friedensau</t>
  </si>
  <si>
    <t>Staatliche Hochschule für Musik und Darstellende Kunst Mannheim</t>
  </si>
  <si>
    <t>Evangelische Hochschule Moritzburg</t>
  </si>
  <si>
    <t>Hochschule für Philosophie München, Deutsche Provinz der Jesuiten KdöR</t>
  </si>
  <si>
    <t>Erasmus+ Zwischenbericht KA103 Projekt 2019</t>
  </si>
  <si>
    <t>Erasmus+ Projekt 2019 KA103 - 70 %-Nachweis zum Zwischenbericht</t>
  </si>
  <si>
    <t xml:space="preserve"> </t>
  </si>
  <si>
    <t xml:space="preserve">nach SMS </t>
  </si>
  <si>
    <t>Geplant 
(N.N.-Nennungen)</t>
  </si>
  <si>
    <t>geplant/ N.N.-Nennungen</t>
  </si>
  <si>
    <t>Bereits realisiert/ laufend/namentlich bekannt/ausgewählt</t>
  </si>
  <si>
    <t>Summe</t>
  </si>
  <si>
    <t>Bitte auswählen</t>
  </si>
  <si>
    <t xml:space="preserve">Hiermit bestätige ich die in diesem Zwischenbericht gemachten Angaben - Geförderte und Budget - sowie die daraus resultierenden finanziellen Änderungen. Die Angaben sind mit Stand vom 01.03.2020 vollständig. Mir ist bekannt, dass im Abschlussbericht über die oben aufgeführten Daten hinaus weitere Angaben im Mobility Tool+ (MT+) notwendig sind. </t>
  </si>
  <si>
    <t>Hochschule Fresenius gemeinnützige GmbH</t>
  </si>
  <si>
    <t>Rheinische Fachhochschule Köln gGmbH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</si>
</sst>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0\ &quot;€&quot;;[Red]\-#,##0\ &quot;€&quot;"/>
    <numFmt numFmtId="7" formatCode="#,##0.00\ &quot;€&quot;;\-#,##0.00\ &quot;€&quot;"/>
    <numFmt numFmtId="44" formatCode="_-* #,##0.00\ &quot;€&quot;_-;\-* #,##0.00\ &quot;€&quot;_-;_-* &quot;-&quot;??\ &quot;€&quot;_-;_-@_-"/>
    <numFmt numFmtId="164" formatCode="_-* #,##0\ _€_-;\-* #,##0\ _€_-;_-* &quot;-&quot;\ _€_-;_-@_-"/>
    <numFmt numFmtId="165" formatCode="_-* #,##0.00\ [$€-1]_-;\-* #,##0.00\ [$€-1]_-;_-* &quot;-&quot;??\ [$€-1]_-;_-@_-"/>
    <numFmt numFmtId="166" formatCode="#,##0.00\ [$€-1];\-#,##0.00\ [$€-1]"/>
    <numFmt numFmtId="167" formatCode="General;\-\ 0;"/>
    <numFmt numFmtId="168" formatCode="\-#,##0.00\ &quot;€&quot;;#,##0.00\ &quot;€&quot;"/>
    <numFmt numFmtId="169" formatCode="#,##0\ &quot;€&quot;"/>
    <numFmt numFmtId="170" formatCode="#,##0.00\ &quot;€&quot;"/>
  </numFmts>
  <fonts count="44" x14ac:knownFonts="1">
    <font>
      <sz val="11"/>
      <color theme="1"/>
      <name val="Calibri"/>
      <family val="2"/>
      <charset val="238"/>
      <scheme val="minor"/>
    </font>
    <font>
      <sz val="11"/>
      <color theme="1"/>
      <name val="Arial"/>
      <family val="2"/>
    </font>
    <font>
      <sz val="11"/>
      <color theme="1"/>
      <name val="Arial"/>
      <family val="2"/>
    </font>
    <font>
      <sz val="11"/>
      <color theme="1"/>
      <name val="Arial"/>
      <family val="2"/>
    </font>
    <font>
      <sz val="11"/>
      <color theme="1"/>
      <name val="Calibri"/>
      <family val="2"/>
      <scheme val="minor"/>
    </font>
    <font>
      <sz val="11"/>
      <color theme="1"/>
      <name val="Calibri"/>
      <family val="2"/>
      <scheme val="minor"/>
    </font>
    <font>
      <sz val="8"/>
      <color theme="1"/>
      <name val="Calibri"/>
      <family val="2"/>
      <charset val="238"/>
      <scheme val="minor"/>
    </font>
    <font>
      <sz val="12"/>
      <name val="Arial"/>
      <family val="2"/>
      <charset val="238"/>
    </font>
    <font>
      <u/>
      <sz val="12"/>
      <color indexed="12"/>
      <name val="Arial"/>
      <family val="2"/>
      <charset val="238"/>
    </font>
    <font>
      <sz val="10"/>
      <name val="Arial"/>
      <family val="2"/>
      <charset val="238"/>
    </font>
    <font>
      <b/>
      <sz val="11"/>
      <color theme="1"/>
      <name val="Calibri"/>
      <family val="2"/>
      <charset val="238"/>
      <scheme val="minor"/>
    </font>
    <font>
      <sz val="8"/>
      <color theme="1"/>
      <name val="Calibri"/>
      <family val="2"/>
      <scheme val="minor"/>
    </font>
    <font>
      <b/>
      <sz val="9"/>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b/>
      <sz val="8"/>
      <color theme="9" tint="-0.249977111117893"/>
      <name val="Calibri"/>
      <family val="2"/>
      <scheme val="minor"/>
    </font>
    <font>
      <b/>
      <sz val="11"/>
      <color theme="9" tint="-0.249977111117893"/>
      <name val="Calibri"/>
      <family val="2"/>
      <scheme val="minor"/>
    </font>
    <font>
      <b/>
      <sz val="10"/>
      <name val="Calibri"/>
      <family val="2"/>
      <scheme val="minor"/>
    </font>
    <font>
      <sz val="10"/>
      <name val="Calibri"/>
      <family val="2"/>
    </font>
    <font>
      <sz val="10"/>
      <name val="Calibri"/>
      <family val="2"/>
      <scheme val="minor"/>
    </font>
    <font>
      <b/>
      <sz val="8"/>
      <name val="Calibri"/>
      <family val="2"/>
      <scheme val="minor"/>
    </font>
    <font>
      <sz val="10"/>
      <color theme="1"/>
      <name val="Calibri"/>
      <family val="2"/>
      <charset val="238"/>
      <scheme val="minor"/>
    </font>
    <font>
      <sz val="9"/>
      <color theme="1"/>
      <name val="Calibri"/>
      <family val="2"/>
      <charset val="238"/>
      <scheme val="minor"/>
    </font>
    <font>
      <b/>
      <sz val="9"/>
      <color theme="1"/>
      <name val="Calibri"/>
      <family val="2"/>
      <charset val="238"/>
      <scheme val="minor"/>
    </font>
    <font>
      <sz val="9.5"/>
      <color theme="1"/>
      <name val="Calibri"/>
      <family val="2"/>
      <charset val="238"/>
      <scheme val="minor"/>
    </font>
    <font>
      <b/>
      <sz val="9.5"/>
      <color theme="1"/>
      <name val="Calibri"/>
      <family val="2"/>
      <charset val="238"/>
      <scheme val="minor"/>
    </font>
    <font>
      <u/>
      <sz val="11"/>
      <color theme="10"/>
      <name val="Calibri"/>
      <family val="2"/>
      <charset val="238"/>
      <scheme val="minor"/>
    </font>
    <font>
      <u/>
      <sz val="11"/>
      <color theme="11"/>
      <name val="Calibri"/>
      <family val="2"/>
      <charset val="238"/>
      <scheme val="minor"/>
    </font>
    <font>
      <b/>
      <sz val="13"/>
      <color theme="1"/>
      <name val="Calibri"/>
      <family val="2"/>
      <scheme val="minor"/>
    </font>
    <font>
      <b/>
      <sz val="10"/>
      <color theme="9" tint="-0.249977111117893"/>
      <name val="Calibri"/>
      <family val="2"/>
      <scheme val="minor"/>
    </font>
    <font>
      <sz val="11"/>
      <color theme="1"/>
      <name val="Calibri"/>
      <family val="2"/>
      <charset val="238"/>
      <scheme val="minor"/>
    </font>
    <font>
      <b/>
      <sz val="8"/>
      <color rgb="FFFF0000"/>
      <name val="Calibri"/>
      <family val="2"/>
      <scheme val="minor"/>
    </font>
    <font>
      <b/>
      <sz val="12"/>
      <color theme="1"/>
      <name val="Calibri"/>
      <family val="2"/>
      <scheme val="minor"/>
    </font>
    <font>
      <sz val="11"/>
      <name val="Calibri"/>
      <family val="2"/>
      <scheme val="minor"/>
    </font>
    <font>
      <sz val="10"/>
      <name val="Arial"/>
      <family val="2"/>
    </font>
    <font>
      <sz val="11"/>
      <name val="Calibri"/>
      <family val="2"/>
    </font>
    <font>
      <sz val="11"/>
      <color rgb="FF000000"/>
      <name val="Calibri"/>
      <family val="2"/>
    </font>
    <font>
      <sz val="8"/>
      <name val="Calibri"/>
      <family val="2"/>
      <scheme val="minor"/>
    </font>
    <font>
      <sz val="8"/>
      <color rgb="FFFF0000"/>
      <name val="Calibri"/>
      <family val="2"/>
      <charset val="238"/>
      <scheme val="minor"/>
    </font>
  </fonts>
  <fills count="24">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ECAF"/>
        <bgColor indexed="64"/>
      </patternFill>
    </fill>
    <fill>
      <patternFill patternType="solid">
        <fgColor rgb="FF2DC8FF"/>
        <bgColor indexed="64"/>
      </patternFill>
    </fill>
    <fill>
      <patternFill patternType="solid">
        <fgColor rgb="FF94B549"/>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rgb="FFDAEEF3"/>
        <bgColor indexed="64"/>
      </patternFill>
    </fill>
    <fill>
      <patternFill patternType="solid">
        <fgColor rgb="FF99CCFF"/>
        <bgColor indexed="64"/>
      </patternFill>
    </fill>
    <fill>
      <patternFill patternType="solid">
        <fgColor rgb="FFB8CCE4"/>
        <bgColor indexed="64"/>
      </patternFill>
    </fill>
    <fill>
      <patternFill patternType="solid">
        <fgColor rgb="FFE6B8B7"/>
        <bgColor indexed="64"/>
      </patternFill>
    </fill>
    <fill>
      <patternFill patternType="solid">
        <fgColor rgb="FFFCD5B4"/>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9" tint="0.59999389629810485"/>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4"/>
      </top>
      <bottom style="double">
        <color theme="4"/>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indexed="64"/>
      </left>
      <right style="thin">
        <color indexed="64"/>
      </right>
      <top/>
      <bottom style="thin">
        <color indexed="64"/>
      </bottom>
      <diagonal/>
    </border>
  </borders>
  <cellStyleXfs count="40">
    <xf numFmtId="0" fontId="0" fillId="0" borderId="0"/>
    <xf numFmtId="0" fontId="7" fillId="0" borderId="0"/>
    <xf numFmtId="0" fontId="8" fillId="0" borderId="0" applyNumberFormat="0" applyFill="0" applyBorder="0" applyAlignment="0" applyProtection="0">
      <alignment vertical="top"/>
      <protection locked="0"/>
    </xf>
    <xf numFmtId="0" fontId="9" fillId="0" borderId="0"/>
    <xf numFmtId="0" fontId="10" fillId="0" borderId="4" applyNumberFormat="0" applyFill="0" applyAlignment="0" applyProtection="0"/>
    <xf numFmtId="0" fontId="10" fillId="0" borderId="4"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44" fontId="35" fillId="0" borderId="0" applyFont="0" applyFill="0" applyBorder="0" applyAlignment="0" applyProtection="0"/>
    <xf numFmtId="9" fontId="35" fillId="0" borderId="0" applyFont="0" applyFill="0" applyBorder="0" applyAlignment="0" applyProtection="0"/>
    <xf numFmtId="0" fontId="3" fillId="0" borderId="0"/>
    <xf numFmtId="0" fontId="39" fillId="0" borderId="0"/>
    <xf numFmtId="0" fontId="40" fillId="0" borderId="0"/>
    <xf numFmtId="0" fontId="41" fillId="0" borderId="0"/>
  </cellStyleXfs>
  <cellXfs count="294">
    <xf numFmtId="0" fontId="0" fillId="0" borderId="0" xfId="0"/>
    <xf numFmtId="0" fontId="24" fillId="10" borderId="5" xfId="0" applyFont="1" applyFill="1" applyBorder="1" applyAlignment="1" applyProtection="1">
      <alignment horizontal="right" vertical="center"/>
      <protection locked="0"/>
    </xf>
    <xf numFmtId="1" fontId="24" fillId="11" borderId="10" xfId="0" applyNumberFormat="1" applyFont="1" applyFill="1" applyBorder="1" applyAlignment="1" applyProtection="1">
      <alignment horizontal="center" vertical="center"/>
      <protection locked="0"/>
    </xf>
    <xf numFmtId="0" fontId="24" fillId="10" borderId="0" xfId="0" applyFont="1" applyFill="1" applyBorder="1" applyAlignment="1" applyProtection="1">
      <alignment horizontal="right" vertical="center"/>
      <protection locked="0"/>
    </xf>
    <xf numFmtId="0" fontId="24" fillId="10" borderId="11" xfId="0" applyFont="1" applyFill="1" applyBorder="1" applyAlignment="1" applyProtection="1">
      <alignment vertical="center"/>
      <protection locked="0"/>
    </xf>
    <xf numFmtId="0" fontId="24" fillId="10" borderId="12" xfId="0" applyFont="1" applyFill="1" applyBorder="1" applyAlignment="1" applyProtection="1">
      <alignment vertical="center"/>
      <protection locked="0"/>
    </xf>
    <xf numFmtId="0" fontId="0" fillId="10" borderId="10" xfId="0" applyFill="1" applyBorder="1" applyAlignment="1" applyProtection="1">
      <alignment vertical="center"/>
      <protection locked="0"/>
    </xf>
    <xf numFmtId="0" fontId="24" fillId="10" borderId="5" xfId="0" applyFont="1" applyFill="1" applyBorder="1" applyAlignment="1" applyProtection="1">
      <alignment vertical="center"/>
      <protection locked="0"/>
    </xf>
    <xf numFmtId="0" fontId="24" fillId="10" borderId="0" xfId="0" applyFont="1" applyFill="1" applyBorder="1" applyAlignment="1" applyProtection="1">
      <alignment vertical="center"/>
      <protection locked="0"/>
    </xf>
    <xf numFmtId="0" fontId="0" fillId="10" borderId="9" xfId="0" applyFill="1" applyBorder="1" applyAlignment="1" applyProtection="1">
      <alignment vertical="center"/>
      <protection locked="0"/>
    </xf>
    <xf numFmtId="1" fontId="22" fillId="12" borderId="1" xfId="0" applyNumberFormat="1" applyFont="1" applyFill="1" applyBorder="1" applyAlignment="1" applyProtection="1">
      <alignment horizontal="center" vertical="center"/>
    </xf>
    <xf numFmtId="0" fontId="22" fillId="10" borderId="5" xfId="0" applyFont="1" applyFill="1" applyBorder="1" applyAlignment="1" applyProtection="1">
      <alignment vertical="center"/>
      <protection locked="0"/>
    </xf>
    <xf numFmtId="169" fontId="24" fillId="10" borderId="0" xfId="0" applyNumberFormat="1" applyFont="1" applyFill="1" applyBorder="1" applyAlignment="1" applyProtection="1">
      <alignment horizontal="center" vertical="center"/>
      <protection locked="0"/>
    </xf>
    <xf numFmtId="0" fontId="24" fillId="10" borderId="0" xfId="0" applyFont="1" applyFill="1" applyBorder="1" applyAlignment="1" applyProtection="1">
      <alignment horizontal="center" vertical="center"/>
      <protection locked="0"/>
    </xf>
    <xf numFmtId="0" fontId="24" fillId="12" borderId="1" xfId="0" applyFont="1" applyFill="1" applyBorder="1" applyAlignment="1" applyProtection="1">
      <alignment horizontal="center" vertical="center"/>
    </xf>
    <xf numFmtId="0" fontId="24" fillId="10" borderId="0" xfId="0" quotePrefix="1" applyFont="1" applyFill="1" applyBorder="1" applyAlignment="1" applyProtection="1">
      <alignment horizontal="center" vertical="center"/>
      <protection locked="0"/>
    </xf>
    <xf numFmtId="169" fontId="24" fillId="12" borderId="1" xfId="0" applyNumberFormat="1" applyFont="1" applyFill="1" applyBorder="1" applyAlignment="1" applyProtection="1">
      <alignment horizontal="right" vertical="center"/>
    </xf>
    <xf numFmtId="169" fontId="22" fillId="12" borderId="1" xfId="0" applyNumberFormat="1" applyFont="1" applyFill="1" applyBorder="1" applyAlignment="1" applyProtection="1">
      <alignment vertical="center"/>
    </xf>
    <xf numFmtId="0" fontId="0" fillId="10" borderId="8" xfId="0" applyFill="1" applyBorder="1" applyAlignment="1" applyProtection="1">
      <alignment vertical="center"/>
      <protection locked="0"/>
    </xf>
    <xf numFmtId="0" fontId="0" fillId="2" borderId="9" xfId="0" applyFill="1" applyBorder="1" applyAlignment="1" applyProtection="1">
      <alignment vertical="center"/>
      <protection locked="0"/>
    </xf>
    <xf numFmtId="0" fontId="0" fillId="2" borderId="0" xfId="0" applyFill="1"/>
    <xf numFmtId="0" fontId="0" fillId="2" borderId="0" xfId="0" applyFill="1" applyBorder="1"/>
    <xf numFmtId="0" fontId="6" fillId="2" borderId="1" xfId="5" applyFont="1" applyFill="1" applyBorder="1" applyAlignment="1" applyProtection="1">
      <alignment horizontal="left" vertical="center" wrapText="1" indent="1"/>
    </xf>
    <xf numFmtId="0" fontId="6" fillId="0" borderId="1" xfId="5" applyFont="1" applyFill="1" applyBorder="1" applyAlignment="1" applyProtection="1">
      <alignment horizontal="left" vertical="center" wrapText="1" indent="1"/>
    </xf>
    <xf numFmtId="0" fontId="0" fillId="2" borderId="0" xfId="0" applyFill="1" applyAlignment="1">
      <alignment horizontal="center"/>
    </xf>
    <xf numFmtId="0" fontId="6" fillId="14" borderId="1" xfId="5" applyFont="1" applyFill="1" applyBorder="1" applyAlignment="1" applyProtection="1">
      <alignment horizontal="right" vertical="center" indent="1"/>
      <protection locked="0"/>
    </xf>
    <xf numFmtId="167" fontId="25" fillId="5" borderId="1" xfId="5" applyNumberFormat="1" applyFont="1" applyFill="1" applyBorder="1" applyAlignment="1" applyProtection="1">
      <alignment horizontal="right" vertical="center" indent="1"/>
    </xf>
    <xf numFmtId="0" fontId="26" fillId="2" borderId="0" xfId="0" applyFont="1" applyFill="1"/>
    <xf numFmtId="0" fontId="16" fillId="2" borderId="0" xfId="0" applyFont="1" applyFill="1"/>
    <xf numFmtId="0" fontId="19" fillId="2" borderId="0" xfId="0" applyFont="1" applyFill="1"/>
    <xf numFmtId="0" fontId="18" fillId="2" borderId="0" xfId="0" applyFont="1" applyFill="1"/>
    <xf numFmtId="0" fontId="6" fillId="14" borderId="8" xfId="5" applyFont="1" applyFill="1" applyBorder="1" applyAlignment="1" applyProtection="1">
      <alignment horizontal="right" vertical="center" indent="1"/>
      <protection locked="0"/>
    </xf>
    <xf numFmtId="0" fontId="6" fillId="14" borderId="13" xfId="5" applyFont="1" applyFill="1" applyBorder="1" applyAlignment="1" applyProtection="1">
      <alignment horizontal="right" vertical="center" indent="1"/>
      <protection locked="0"/>
    </xf>
    <xf numFmtId="0" fontId="0" fillId="2" borderId="0" xfId="0" applyFill="1" applyBorder="1" applyAlignment="1"/>
    <xf numFmtId="167" fontId="27" fillId="5" borderId="1" xfId="5" applyNumberFormat="1" applyFont="1" applyFill="1" applyBorder="1" applyAlignment="1" applyProtection="1">
      <alignment horizontal="center" vertical="center"/>
    </xf>
    <xf numFmtId="167" fontId="14" fillId="5" borderId="1" xfId="5" applyNumberFormat="1" applyFont="1" applyFill="1" applyBorder="1" applyAlignment="1" applyProtection="1">
      <alignment horizontal="center" vertical="center"/>
    </xf>
    <xf numFmtId="0" fontId="0" fillId="2" borderId="7" xfId="0" applyFill="1" applyBorder="1"/>
    <xf numFmtId="0" fontId="0" fillId="2" borderId="0" xfId="0" applyFill="1" applyAlignment="1">
      <alignment vertical="center"/>
    </xf>
    <xf numFmtId="0" fontId="0" fillId="2" borderId="0" xfId="0" applyFill="1" applyAlignment="1">
      <alignment horizontal="center" vertical="center"/>
    </xf>
    <xf numFmtId="0" fontId="0" fillId="2" borderId="7" xfId="0" applyFill="1" applyBorder="1" applyAlignment="1">
      <alignment horizontal="center"/>
    </xf>
    <xf numFmtId="0" fontId="19" fillId="2" borderId="0" xfId="0" applyFont="1" applyFill="1" applyAlignment="1">
      <alignment horizontal="left"/>
    </xf>
    <xf numFmtId="0" fontId="0" fillId="2" borderId="0" xfId="0" applyFill="1" applyBorder="1" applyAlignment="1">
      <alignment horizontal="left"/>
    </xf>
    <xf numFmtId="0" fontId="0" fillId="2" borderId="0" xfId="0" applyFill="1" applyAlignment="1">
      <alignment horizontal="left"/>
    </xf>
    <xf numFmtId="0" fontId="0" fillId="2" borderId="0" xfId="0" applyFill="1" applyBorder="1" applyAlignment="1">
      <alignment vertical="center"/>
    </xf>
    <xf numFmtId="0" fontId="22" fillId="8" borderId="1" xfId="0" applyFont="1" applyFill="1" applyBorder="1" applyAlignment="1" applyProtection="1">
      <alignment horizontal="center" vertical="center" wrapText="1"/>
    </xf>
    <xf numFmtId="0" fontId="22" fillId="4" borderId="1" xfId="0" applyFont="1" applyFill="1" applyBorder="1" applyAlignment="1" applyProtection="1">
      <alignment horizontal="center" vertical="center" wrapText="1"/>
    </xf>
    <xf numFmtId="0" fontId="22" fillId="6" borderId="1" xfId="0" applyFont="1" applyFill="1" applyBorder="1" applyAlignment="1" applyProtection="1">
      <alignment horizontal="center" vertical="center" wrapText="1"/>
    </xf>
    <xf numFmtId="0" fontId="22" fillId="9" borderId="1" xfId="0" applyFont="1" applyFill="1" applyBorder="1" applyAlignment="1" applyProtection="1">
      <alignment horizontal="center" vertical="center" wrapText="1"/>
    </xf>
    <xf numFmtId="0" fontId="14" fillId="0" borderId="1" xfId="5" applyFont="1" applyFill="1" applyBorder="1" applyAlignment="1" applyProtection="1">
      <alignment horizontal="left" vertical="center" wrapText="1" indent="1"/>
    </xf>
    <xf numFmtId="1" fontId="6" fillId="5" borderId="1" xfId="5" applyNumberFormat="1" applyFont="1" applyFill="1" applyBorder="1" applyAlignment="1" applyProtection="1">
      <alignment horizontal="right" vertical="center" indent="1"/>
    </xf>
    <xf numFmtId="165" fontId="15" fillId="5" borderId="1" xfId="5" applyNumberFormat="1" applyFont="1" applyFill="1" applyBorder="1" applyAlignment="1" applyProtection="1">
      <alignment horizontal="right" vertical="center" indent="1"/>
    </xf>
    <xf numFmtId="1" fontId="15" fillId="5" borderId="1" xfId="5" applyNumberFormat="1" applyFont="1" applyFill="1" applyBorder="1" applyAlignment="1" applyProtection="1">
      <alignment horizontal="right" vertical="center" indent="1"/>
    </xf>
    <xf numFmtId="0" fontId="15" fillId="5" borderId="1" xfId="5" applyFont="1" applyFill="1" applyBorder="1" applyAlignment="1" applyProtection="1">
      <alignment horizontal="right" vertical="center" indent="1"/>
    </xf>
    <xf numFmtId="1" fontId="25" fillId="5" borderId="1" xfId="5" applyNumberFormat="1" applyFont="1" applyFill="1" applyBorder="1" applyAlignment="1" applyProtection="1">
      <alignment horizontal="right" vertical="center" indent="1"/>
    </xf>
    <xf numFmtId="0" fontId="33" fillId="2" borderId="0" xfId="0" applyFont="1" applyFill="1" applyProtection="1"/>
    <xf numFmtId="0" fontId="27" fillId="2" borderId="13" xfId="0" applyFont="1" applyFill="1" applyBorder="1" applyAlignment="1" applyProtection="1">
      <alignment horizontal="center" vertical="center"/>
    </xf>
    <xf numFmtId="0" fontId="27" fillId="2" borderId="13" xfId="0" applyFont="1" applyFill="1" applyBorder="1" applyAlignment="1" applyProtection="1">
      <alignment horizontal="center" vertical="center" wrapText="1"/>
    </xf>
    <xf numFmtId="0" fontId="27" fillId="2" borderId="1" xfId="0" applyFont="1" applyFill="1" applyBorder="1" applyAlignment="1" applyProtection="1">
      <alignment horizontal="center" vertical="center" wrapText="1"/>
    </xf>
    <xf numFmtId="0" fontId="27" fillId="2" borderId="1" xfId="0" applyFont="1" applyFill="1" applyBorder="1" applyAlignment="1" applyProtection="1">
      <alignment horizontal="center" vertical="center"/>
    </xf>
    <xf numFmtId="0" fontId="0" fillId="2" borderId="0" xfId="0" applyFill="1" applyBorder="1" applyProtection="1">
      <protection locked="0"/>
    </xf>
    <xf numFmtId="0" fontId="5" fillId="2" borderId="0" xfId="0" applyFont="1" applyFill="1" applyBorder="1" applyAlignment="1" applyProtection="1">
      <alignment horizontal="center" vertical="center" readingOrder="1"/>
      <protection locked="0"/>
    </xf>
    <xf numFmtId="0" fontId="16" fillId="2" borderId="0" xfId="0" applyFont="1" applyFill="1" applyBorder="1" applyProtection="1">
      <protection locked="0"/>
    </xf>
    <xf numFmtId="0" fontId="21" fillId="2" borderId="0" xfId="0" applyFont="1" applyFill="1" applyBorder="1" applyProtection="1">
      <protection locked="0"/>
    </xf>
    <xf numFmtId="0" fontId="13" fillId="2" borderId="0" xfId="0" applyFont="1" applyFill="1" applyBorder="1" applyProtection="1">
      <protection locked="0"/>
    </xf>
    <xf numFmtId="0" fontId="12" fillId="2" borderId="0" xfId="0" applyFont="1" applyFill="1" applyBorder="1" applyProtection="1">
      <protection locked="0"/>
    </xf>
    <xf numFmtId="0" fontId="0" fillId="0" borderId="0" xfId="0" applyBorder="1" applyProtection="1">
      <protection locked="0"/>
    </xf>
    <xf numFmtId="0" fontId="4" fillId="2" borderId="0" xfId="0" applyFont="1" applyFill="1" applyBorder="1" applyProtection="1">
      <protection locked="0"/>
    </xf>
    <xf numFmtId="0" fontId="4" fillId="0" borderId="0" xfId="0" applyFont="1" applyBorder="1" applyProtection="1">
      <protection locked="0"/>
    </xf>
    <xf numFmtId="0" fontId="5" fillId="0" borderId="0" xfId="0" applyFont="1" applyBorder="1" applyAlignment="1" applyProtection="1">
      <alignment horizontal="center" vertical="center" readingOrder="1"/>
      <protection locked="0"/>
    </xf>
    <xf numFmtId="0" fontId="16" fillId="0" borderId="0" xfId="0" applyFont="1" applyBorder="1" applyProtection="1">
      <protection locked="0"/>
    </xf>
    <xf numFmtId="0" fontId="21" fillId="0" borderId="0" xfId="0" applyFont="1" applyBorder="1" applyProtection="1">
      <protection locked="0"/>
    </xf>
    <xf numFmtId="0" fontId="13" fillId="0" borderId="0" xfId="0" applyFont="1" applyBorder="1" applyProtection="1">
      <protection locked="0"/>
    </xf>
    <xf numFmtId="0" fontId="12" fillId="0" borderId="0" xfId="0" applyFont="1" applyBorder="1" applyProtection="1">
      <protection locked="0"/>
    </xf>
    <xf numFmtId="1" fontId="6" fillId="2" borderId="0" xfId="5" applyNumberFormat="1" applyFont="1" applyFill="1" applyBorder="1" applyAlignment="1" applyProtection="1">
      <alignment horizontal="right" vertical="center" indent="1"/>
    </xf>
    <xf numFmtId="0" fontId="22" fillId="10" borderId="5" xfId="0" applyFont="1" applyFill="1" applyBorder="1" applyAlignment="1" applyProtection="1">
      <alignment horizontal="center" vertical="center"/>
      <protection locked="0"/>
    </xf>
    <xf numFmtId="0" fontId="22" fillId="10" borderId="0" xfId="0" applyFont="1" applyFill="1" applyBorder="1" applyAlignment="1" applyProtection="1">
      <alignment horizontal="center" vertical="center"/>
      <protection locked="0"/>
    </xf>
    <xf numFmtId="0" fontId="0" fillId="0" borderId="0" xfId="0" applyBorder="1"/>
    <xf numFmtId="0" fontId="24" fillId="10" borderId="6" xfId="0" applyFont="1" applyFill="1" applyBorder="1" applyAlignment="1" applyProtection="1">
      <alignment vertical="center"/>
      <protection locked="0"/>
    </xf>
    <xf numFmtId="0" fontId="24" fillId="10" borderId="7" xfId="0" applyFont="1" applyFill="1" applyBorder="1" applyAlignment="1" applyProtection="1">
      <alignment vertical="center"/>
      <protection locked="0"/>
    </xf>
    <xf numFmtId="0" fontId="0" fillId="0" borderId="9" xfId="0" applyBorder="1"/>
    <xf numFmtId="0" fontId="0" fillId="2" borderId="11" xfId="0" applyFill="1" applyBorder="1"/>
    <xf numFmtId="0" fontId="0" fillId="2" borderId="12" xfId="0" applyFill="1" applyBorder="1"/>
    <xf numFmtId="0" fontId="0" fillId="0" borderId="10" xfId="0" applyBorder="1"/>
    <xf numFmtId="170" fontId="22" fillId="12" borderId="1" xfId="0" applyNumberFormat="1" applyFont="1" applyFill="1" applyBorder="1" applyAlignment="1" applyProtection="1">
      <alignment vertical="center"/>
    </xf>
    <xf numFmtId="169" fontId="22" fillId="12" borderId="2" xfId="0" applyNumberFormat="1" applyFont="1" applyFill="1" applyBorder="1" applyAlignment="1" applyProtection="1">
      <alignment vertical="center"/>
    </xf>
    <xf numFmtId="0" fontId="22" fillId="10" borderId="0" xfId="0" applyFont="1" applyFill="1" applyBorder="1" applyAlignment="1" applyProtection="1">
      <alignment vertical="center"/>
      <protection locked="0"/>
    </xf>
    <xf numFmtId="0" fontId="22" fillId="2" borderId="6" xfId="0" applyFont="1" applyFill="1" applyBorder="1" applyAlignment="1" applyProtection="1">
      <alignment vertical="center"/>
      <protection locked="0"/>
    </xf>
    <xf numFmtId="0" fontId="0" fillId="2" borderId="8" xfId="0" applyFill="1" applyBorder="1"/>
    <xf numFmtId="0" fontId="0" fillId="2" borderId="5" xfId="0" applyFill="1" applyBorder="1"/>
    <xf numFmtId="0" fontId="0" fillId="2" borderId="9" xfId="0" applyFill="1" applyBorder="1"/>
    <xf numFmtId="165" fontId="15" fillId="14" borderId="1" xfId="5" applyNumberFormat="1" applyFont="1" applyFill="1" applyBorder="1" applyAlignment="1" applyProtection="1">
      <alignment horizontal="right" vertical="center" indent="1"/>
      <protection locked="0"/>
    </xf>
    <xf numFmtId="0" fontId="19" fillId="2" borderId="0" xfId="0" applyFont="1" applyFill="1" applyBorder="1" applyAlignment="1" applyProtection="1">
      <alignment horizontal="left"/>
    </xf>
    <xf numFmtId="164" fontId="6" fillId="5" borderId="1" xfId="5" applyNumberFormat="1" applyFont="1" applyFill="1" applyBorder="1" applyAlignment="1" applyProtection="1">
      <alignment horizontal="right" vertical="center" indent="1"/>
    </xf>
    <xf numFmtId="0" fontId="17" fillId="2" borderId="0" xfId="5" applyFont="1" applyFill="1" applyBorder="1" applyAlignment="1" applyProtection="1">
      <alignment horizontal="center" vertical="center" wrapText="1" readingOrder="1"/>
    </xf>
    <xf numFmtId="0" fontId="14" fillId="2" borderId="0" xfId="5" applyFont="1" applyFill="1" applyBorder="1" applyAlignment="1" applyProtection="1">
      <alignment horizontal="left" vertical="center" wrapText="1" indent="1"/>
    </xf>
    <xf numFmtId="165" fontId="15" fillId="2" borderId="0" xfId="5" applyNumberFormat="1" applyFont="1" applyFill="1" applyBorder="1" applyAlignment="1" applyProtection="1">
      <alignment horizontal="right" vertical="center" indent="1"/>
    </xf>
    <xf numFmtId="6" fontId="15" fillId="2" borderId="0" xfId="5" applyNumberFormat="1" applyFont="1" applyFill="1" applyBorder="1" applyAlignment="1" applyProtection="1">
      <alignment horizontal="right" vertical="center" indent="1"/>
    </xf>
    <xf numFmtId="166" fontId="15" fillId="2" borderId="0" xfId="5" applyNumberFormat="1" applyFont="1" applyFill="1" applyBorder="1" applyAlignment="1" applyProtection="1">
      <alignment horizontal="right" vertical="center" indent="1"/>
    </xf>
    <xf numFmtId="0" fontId="6" fillId="2" borderId="0" xfId="5" applyFont="1" applyFill="1" applyBorder="1" applyAlignment="1" applyProtection="1">
      <alignment vertical="center"/>
    </xf>
    <xf numFmtId="166" fontId="20" fillId="2" borderId="0" xfId="5" applyNumberFormat="1" applyFont="1" applyFill="1" applyBorder="1" applyAlignment="1" applyProtection="1">
      <alignment horizontal="right" vertical="center" indent="1"/>
    </xf>
    <xf numFmtId="0" fontId="16" fillId="2" borderId="1" xfId="0" applyFont="1" applyFill="1" applyBorder="1" applyProtection="1"/>
    <xf numFmtId="0" fontId="0" fillId="2" borderId="0" xfId="0" applyFill="1" applyBorder="1" applyProtection="1"/>
    <xf numFmtId="0" fontId="4" fillId="2" borderId="0" xfId="0" applyFont="1" applyFill="1" applyBorder="1" applyAlignment="1" applyProtection="1">
      <alignment horizontal="center" vertical="center" readingOrder="1"/>
    </xf>
    <xf numFmtId="0" fontId="36"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wrapText="1"/>
    </xf>
    <xf numFmtId="0" fontId="25" fillId="2" borderId="0" xfId="0"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25" fillId="2" borderId="0" xfId="0" applyFont="1" applyFill="1" applyBorder="1" applyAlignment="1" applyProtection="1">
      <alignment horizontal="center"/>
    </xf>
    <xf numFmtId="0" fontId="0" fillId="2" borderId="0" xfId="0" applyFill="1" applyBorder="1" applyAlignment="1" applyProtection="1"/>
    <xf numFmtId="0" fontId="5" fillId="2" borderId="0" xfId="0" applyFont="1" applyFill="1" applyBorder="1" applyAlignment="1" applyProtection="1">
      <alignment horizontal="center" vertical="center" readingOrder="1"/>
    </xf>
    <xf numFmtId="0" fontId="16" fillId="2" borderId="0" xfId="0" applyFont="1" applyFill="1" applyBorder="1" applyProtection="1"/>
    <xf numFmtId="0" fontId="21" fillId="2" borderId="0" xfId="0" applyFont="1" applyFill="1" applyBorder="1" applyProtection="1"/>
    <xf numFmtId="0" fontId="13" fillId="2" borderId="0" xfId="0" applyFont="1" applyFill="1" applyBorder="1" applyProtection="1"/>
    <xf numFmtId="0" fontId="12" fillId="2" borderId="0" xfId="0" applyFont="1" applyFill="1" applyBorder="1" applyProtection="1"/>
    <xf numFmtId="0" fontId="15" fillId="2" borderId="0" xfId="5" applyFont="1" applyFill="1" applyBorder="1" applyAlignment="1" applyProtection="1">
      <alignment horizontal="right" vertical="center" indent="1"/>
    </xf>
    <xf numFmtId="0" fontId="6" fillId="2" borderId="0" xfId="5" applyFont="1" applyFill="1" applyBorder="1" applyAlignment="1" applyProtection="1">
      <alignment horizontal="right" vertical="center" indent="1"/>
    </xf>
    <xf numFmtId="0" fontId="22" fillId="2" borderId="0" xfId="0" applyFont="1" applyFill="1" applyBorder="1" applyAlignment="1" applyProtection="1">
      <alignment horizontal="center" vertical="center" wrapText="1"/>
    </xf>
    <xf numFmtId="0" fontId="34" fillId="0" borderId="1" xfId="0" applyFont="1" applyBorder="1" applyAlignment="1" applyProtection="1">
      <alignment horizontal="center" vertical="center" wrapText="1"/>
    </xf>
    <xf numFmtId="166" fontId="20" fillId="5" borderId="1" xfId="5" applyNumberFormat="1" applyFont="1" applyFill="1" applyBorder="1" applyAlignment="1" applyProtection="1">
      <alignment horizontal="right" vertical="center" indent="1"/>
    </xf>
    <xf numFmtId="0" fontId="20" fillId="5" borderId="1" xfId="5" applyFont="1" applyFill="1" applyBorder="1" applyAlignment="1" applyProtection="1">
      <alignment horizontal="right" vertical="center" indent="1"/>
    </xf>
    <xf numFmtId="0" fontId="13" fillId="2" borderId="0" xfId="5" applyFont="1" applyFill="1" applyBorder="1" applyAlignment="1" applyProtection="1">
      <alignment horizontal="center" vertical="center" wrapText="1" readingOrder="1"/>
    </xf>
    <xf numFmtId="0" fontId="6" fillId="2" borderId="0" xfId="5" applyFont="1" applyFill="1" applyBorder="1" applyAlignment="1" applyProtection="1">
      <alignment horizontal="left" vertical="center" wrapText="1" indent="1"/>
    </xf>
    <xf numFmtId="165" fontId="6" fillId="2" borderId="0" xfId="5" applyNumberFormat="1" applyFont="1" applyFill="1" applyBorder="1" applyAlignment="1" applyProtection="1">
      <alignment horizontal="right" vertical="center" indent="1"/>
    </xf>
    <xf numFmtId="7" fontId="6" fillId="2" borderId="0" xfId="5" applyNumberFormat="1" applyFont="1" applyFill="1" applyBorder="1" applyAlignment="1" applyProtection="1">
      <alignment horizontal="right" vertical="center" indent="1"/>
    </xf>
    <xf numFmtId="168" fontId="6" fillId="2" borderId="0" xfId="5" applyNumberFormat="1" applyFont="1" applyFill="1" applyBorder="1" applyAlignment="1" applyProtection="1">
      <alignment horizontal="right" vertical="center" indent="1"/>
    </xf>
    <xf numFmtId="165" fontId="20" fillId="2" borderId="0" xfId="5" applyNumberFormat="1" applyFont="1" applyFill="1" applyBorder="1" applyAlignment="1" applyProtection="1">
      <alignment horizontal="right" vertical="center" indent="1"/>
    </xf>
    <xf numFmtId="165" fontId="25" fillId="2" borderId="0" xfId="5" applyNumberFormat="1" applyFont="1" applyFill="1" applyBorder="1" applyAlignment="1" applyProtection="1">
      <alignment horizontal="right" vertical="center" indent="1"/>
    </xf>
    <xf numFmtId="167" fontId="15" fillId="2" borderId="0" xfId="5" applyNumberFormat="1" applyFont="1" applyFill="1" applyBorder="1" applyAlignment="1" applyProtection="1">
      <alignment horizontal="right" vertical="center" indent="1"/>
    </xf>
    <xf numFmtId="167" fontId="20" fillId="5" borderId="1" xfId="5" applyNumberFormat="1" applyFont="1" applyFill="1" applyBorder="1" applyAlignment="1" applyProtection="1">
      <alignment horizontal="right" vertical="center" indent="1"/>
    </xf>
    <xf numFmtId="0" fontId="4" fillId="2" borderId="0" xfId="0" applyFont="1" applyFill="1" applyBorder="1" applyProtection="1"/>
    <xf numFmtId="0" fontId="0" fillId="2" borderId="0" xfId="0" applyFill="1" applyProtection="1"/>
    <xf numFmtId="0" fontId="16" fillId="2" borderId="0" xfId="0" applyFont="1" applyFill="1" applyProtection="1"/>
    <xf numFmtId="0" fontId="0" fillId="0" borderId="0" xfId="0" applyProtection="1"/>
    <xf numFmtId="0" fontId="26" fillId="2" borderId="0" xfId="0" applyFont="1" applyFill="1" applyProtection="1"/>
    <xf numFmtId="9" fontId="14" fillId="5" borderId="1" xfId="35" applyFont="1" applyFill="1" applyBorder="1" applyProtection="1"/>
    <xf numFmtId="0" fontId="26" fillId="2" borderId="0" xfId="0" applyFont="1" applyFill="1" applyBorder="1" applyProtection="1"/>
    <xf numFmtId="0" fontId="26" fillId="2" borderId="0" xfId="0" applyFont="1" applyFill="1" applyBorder="1" applyAlignment="1" applyProtection="1"/>
    <xf numFmtId="0" fontId="26" fillId="2" borderId="0" xfId="0" applyFont="1" applyFill="1" applyBorder="1" applyAlignment="1" applyProtection="1">
      <alignment wrapText="1"/>
    </xf>
    <xf numFmtId="0" fontId="26" fillId="2" borderId="7" xfId="0" applyFont="1" applyFill="1" applyBorder="1" applyProtection="1"/>
    <xf numFmtId="0" fontId="38" fillId="2" borderId="0" xfId="0" applyFont="1" applyFill="1" applyBorder="1" applyAlignment="1" applyProtection="1"/>
    <xf numFmtId="0" fontId="0" fillId="0" borderId="0" xfId="0" applyFill="1"/>
    <xf numFmtId="0" fontId="4" fillId="0" borderId="0" xfId="36" applyFont="1"/>
    <xf numFmtId="0" fontId="4" fillId="0" borderId="0" xfId="36" applyNumberFormat="1" applyFont="1"/>
    <xf numFmtId="0" fontId="26" fillId="2" borderId="10" xfId="0" applyFont="1" applyFill="1" applyBorder="1"/>
    <xf numFmtId="0" fontId="22" fillId="2" borderId="1"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xf>
    <xf numFmtId="169" fontId="15" fillId="5" borderId="1" xfId="5" applyNumberFormat="1" applyFont="1" applyFill="1" applyBorder="1" applyAlignment="1" applyProtection="1">
      <alignment horizontal="right" vertical="center" indent="1"/>
    </xf>
    <xf numFmtId="169" fontId="15" fillId="2" borderId="0" xfId="5" applyNumberFormat="1" applyFont="1" applyFill="1" applyBorder="1" applyAlignment="1" applyProtection="1">
      <alignment horizontal="right" vertical="center" indent="1"/>
    </xf>
    <xf numFmtId="169" fontId="6" fillId="14" borderId="1" xfId="5" applyNumberFormat="1" applyFont="1" applyFill="1" applyBorder="1" applyAlignment="1" applyProtection="1">
      <alignment horizontal="right" vertical="center" indent="1"/>
      <protection locked="0"/>
    </xf>
    <xf numFmtId="169" fontId="6" fillId="5" borderId="1" xfId="5" applyNumberFormat="1" applyFont="1" applyFill="1" applyBorder="1" applyAlignment="1" applyProtection="1">
      <alignment horizontal="right" vertical="center" indent="1"/>
    </xf>
    <xf numFmtId="169" fontId="20" fillId="5" borderId="1" xfId="5" applyNumberFormat="1" applyFont="1" applyFill="1" applyBorder="1" applyAlignment="1" applyProtection="1">
      <alignment horizontal="right" vertical="center" indent="1"/>
    </xf>
    <xf numFmtId="169" fontId="25" fillId="5" borderId="1" xfId="5" applyNumberFormat="1" applyFont="1" applyFill="1" applyBorder="1" applyAlignment="1" applyProtection="1">
      <alignment horizontal="right" vertical="center" indent="1"/>
    </xf>
    <xf numFmtId="169" fontId="28" fillId="5" borderId="1" xfId="5" applyNumberFormat="1" applyFont="1" applyFill="1" applyBorder="1" applyAlignment="1" applyProtection="1">
      <alignment horizontal="center" vertical="center"/>
    </xf>
    <xf numFmtId="169" fontId="0" fillId="2" borderId="0" xfId="0" applyNumberFormat="1" applyFill="1" applyAlignment="1">
      <alignment horizontal="center"/>
    </xf>
    <xf numFmtId="169" fontId="14" fillId="5" borderId="3" xfId="34" applyNumberFormat="1" applyFont="1" applyFill="1" applyBorder="1" applyAlignment="1" applyProtection="1">
      <alignment horizontal="center" vertical="center"/>
    </xf>
    <xf numFmtId="169" fontId="14" fillId="5" borderId="1" xfId="5" applyNumberFormat="1" applyFont="1" applyFill="1" applyBorder="1" applyAlignment="1" applyProtection="1">
      <alignment horizontal="center" vertical="center"/>
    </xf>
    <xf numFmtId="169" fontId="0" fillId="2" borderId="0" xfId="0" applyNumberFormat="1" applyFill="1"/>
    <xf numFmtId="0" fontId="4" fillId="0" borderId="0" xfId="36" applyFont="1" applyFill="1"/>
    <xf numFmtId="0" fontId="4" fillId="0" borderId="0" xfId="0" applyFont="1"/>
    <xf numFmtId="0" fontId="41" fillId="0" borderId="0" xfId="39" applyFill="1" applyAlignment="1">
      <alignment horizontal="left" vertical="top"/>
    </xf>
    <xf numFmtId="0" fontId="6" fillId="2" borderId="0" xfId="0" applyFont="1" applyFill="1" applyBorder="1" applyProtection="1">
      <protection locked="0"/>
    </xf>
    <xf numFmtId="0" fontId="43" fillId="2" borderId="0" xfId="0" applyFont="1" applyFill="1" applyBorder="1" applyProtection="1"/>
    <xf numFmtId="0" fontId="15" fillId="2" borderId="1" xfId="5" applyFont="1" applyFill="1" applyBorder="1" applyAlignment="1" applyProtection="1">
      <alignment horizontal="left" vertical="center" indent="1"/>
    </xf>
    <xf numFmtId="0" fontId="2" fillId="0" borderId="0" xfId="0" applyFont="1" applyFill="1" applyAlignment="1">
      <alignment horizontal="center"/>
    </xf>
    <xf numFmtId="0" fontId="0" fillId="2" borderId="6" xfId="0" applyFill="1" applyBorder="1" applyProtection="1"/>
    <xf numFmtId="0" fontId="0" fillId="2" borderId="5" xfId="0" applyFill="1" applyBorder="1" applyProtection="1"/>
    <xf numFmtId="0" fontId="1" fillId="0" borderId="0" xfId="0" applyFont="1" applyFill="1" applyAlignment="1">
      <alignment horizontal="left"/>
    </xf>
    <xf numFmtId="165" fontId="13" fillId="14" borderId="1" xfId="5" applyNumberFormat="1" applyFont="1" applyFill="1" applyBorder="1" applyAlignment="1" applyProtection="1">
      <alignment horizontal="center" vertical="center"/>
      <protection locked="0"/>
    </xf>
    <xf numFmtId="0" fontId="19" fillId="2" borderId="3" xfId="0" applyFont="1" applyFill="1" applyBorder="1" applyAlignment="1" applyProtection="1">
      <alignment horizontal="left"/>
    </xf>
    <xf numFmtId="0" fontId="19" fillId="2" borderId="14" xfId="0" applyFont="1" applyFill="1" applyBorder="1" applyAlignment="1" applyProtection="1">
      <alignment horizontal="left"/>
    </xf>
    <xf numFmtId="0" fontId="19" fillId="2" borderId="2" xfId="0" applyFont="1" applyFill="1" applyBorder="1" applyAlignment="1" applyProtection="1">
      <alignment horizontal="left"/>
    </xf>
    <xf numFmtId="0" fontId="29" fillId="13" borderId="3" xfId="5" applyFont="1" applyFill="1" applyBorder="1" applyAlignment="1" applyProtection="1">
      <alignment horizontal="right" vertical="center" wrapText="1" readingOrder="1"/>
    </xf>
    <xf numFmtId="0" fontId="29" fillId="13" borderId="14" xfId="5" applyFont="1" applyFill="1" applyBorder="1" applyAlignment="1" applyProtection="1">
      <alignment horizontal="right" vertical="center" wrapText="1" readingOrder="1"/>
    </xf>
    <xf numFmtId="0" fontId="29" fillId="13" borderId="2" xfId="5" applyFont="1" applyFill="1" applyBorder="1" applyAlignment="1" applyProtection="1">
      <alignment horizontal="right" vertical="center" wrapText="1" readingOrder="1"/>
    </xf>
    <xf numFmtId="0" fontId="22" fillId="8" borderId="3" xfId="0" applyFont="1" applyFill="1" applyBorder="1" applyAlignment="1" applyProtection="1">
      <alignment horizontal="center" vertical="center" wrapText="1"/>
    </xf>
    <xf numFmtId="0" fontId="22" fillId="8" borderId="14" xfId="0" applyFont="1" applyFill="1" applyBorder="1" applyAlignment="1" applyProtection="1">
      <alignment horizontal="center" vertical="center" wrapText="1"/>
    </xf>
    <xf numFmtId="0" fontId="22" fillId="8" borderId="2" xfId="0" applyFont="1" applyFill="1" applyBorder="1" applyAlignment="1" applyProtection="1">
      <alignment horizontal="center" vertical="center" wrapText="1"/>
    </xf>
    <xf numFmtId="0" fontId="18" fillId="5" borderId="1" xfId="5" applyFont="1" applyFill="1" applyBorder="1" applyAlignment="1" applyProtection="1">
      <alignment horizontal="left" vertical="center"/>
    </xf>
    <xf numFmtId="0" fontId="18" fillId="14" borderId="3" xfId="5" applyFont="1" applyFill="1" applyBorder="1" applyAlignment="1" applyProtection="1">
      <alignment horizontal="left" vertical="center"/>
      <protection locked="0"/>
    </xf>
    <xf numFmtId="0" fontId="18" fillId="14" borderId="14" xfId="5" applyFont="1" applyFill="1" applyBorder="1" applyAlignment="1" applyProtection="1">
      <alignment horizontal="left" vertical="center"/>
      <protection locked="0"/>
    </xf>
    <xf numFmtId="0" fontId="18" fillId="14" borderId="2" xfId="5" applyFont="1" applyFill="1" applyBorder="1" applyAlignment="1" applyProtection="1">
      <alignment horizontal="left" vertical="center"/>
      <protection locked="0"/>
    </xf>
    <xf numFmtId="0" fontId="22" fillId="9" borderId="3" xfId="0" applyFont="1" applyFill="1" applyBorder="1" applyAlignment="1" applyProtection="1">
      <alignment horizontal="center" vertical="center" wrapText="1"/>
    </xf>
    <xf numFmtId="0" fontId="22" fillId="9" borderId="14" xfId="0" applyFont="1" applyFill="1" applyBorder="1" applyAlignment="1" applyProtection="1">
      <alignment horizontal="center" vertical="center" wrapText="1"/>
    </xf>
    <xf numFmtId="0" fontId="22" fillId="9" borderId="2" xfId="0" applyFont="1" applyFill="1" applyBorder="1" applyAlignment="1" applyProtection="1">
      <alignment horizontal="center" vertical="center" wrapText="1"/>
    </xf>
    <xf numFmtId="0" fontId="18" fillId="14" borderId="1" xfId="5" applyFont="1" applyFill="1" applyBorder="1" applyAlignment="1" applyProtection="1">
      <alignment horizontal="left" vertical="center"/>
      <protection locked="0"/>
    </xf>
    <xf numFmtId="0" fontId="19" fillId="14" borderId="1" xfId="0" applyFont="1" applyFill="1" applyBorder="1" applyAlignment="1" applyProtection="1">
      <alignment horizontal="left"/>
      <protection locked="0"/>
    </xf>
    <xf numFmtId="0" fontId="29" fillId="15" borderId="3" xfId="5" applyFont="1" applyFill="1" applyBorder="1" applyAlignment="1" applyProtection="1">
      <alignment horizontal="right" vertical="center" wrapText="1" readingOrder="1"/>
    </xf>
    <xf numFmtId="0" fontId="29" fillId="15" borderId="14" xfId="5" applyFont="1" applyFill="1" applyBorder="1" applyAlignment="1" applyProtection="1">
      <alignment horizontal="right" vertical="center" wrapText="1" readingOrder="1"/>
    </xf>
    <xf numFmtId="0" fontId="29" fillId="15" borderId="2" xfId="5" applyFont="1" applyFill="1" applyBorder="1" applyAlignment="1" applyProtection="1">
      <alignment horizontal="right" vertical="center" wrapText="1" readingOrder="1"/>
    </xf>
    <xf numFmtId="0" fontId="29" fillId="16" borderId="3" xfId="5" applyFont="1" applyFill="1" applyBorder="1" applyAlignment="1" applyProtection="1">
      <alignment horizontal="right" vertical="center" wrapText="1" readingOrder="1"/>
    </xf>
    <xf numFmtId="0" fontId="29" fillId="16" borderId="14" xfId="5" applyFont="1" applyFill="1" applyBorder="1" applyAlignment="1" applyProtection="1">
      <alignment horizontal="right" vertical="center" wrapText="1" readingOrder="1"/>
    </xf>
    <xf numFmtId="0" fontId="29" fillId="16" borderId="2" xfId="5" applyFont="1" applyFill="1" applyBorder="1" applyAlignment="1" applyProtection="1">
      <alignment horizontal="right" vertical="center" wrapText="1" readingOrder="1"/>
    </xf>
    <xf numFmtId="0" fontId="16" fillId="5" borderId="1" xfId="0" applyFont="1" applyFill="1" applyBorder="1" applyAlignment="1" applyProtection="1">
      <alignment horizontal="center" vertical="center"/>
    </xf>
    <xf numFmtId="0" fontId="42" fillId="2" borderId="0" xfId="0" applyFont="1" applyFill="1" applyBorder="1" applyAlignment="1">
      <alignment horizontal="center" wrapText="1"/>
    </xf>
    <xf numFmtId="0" fontId="42" fillId="2" borderId="12" xfId="0" applyFont="1" applyFill="1" applyBorder="1" applyAlignment="1">
      <alignment horizontal="center" wrapText="1"/>
    </xf>
    <xf numFmtId="0" fontId="29" fillId="17" borderId="3" xfId="5" applyFont="1" applyFill="1" applyBorder="1" applyAlignment="1" applyProtection="1">
      <alignment horizontal="right" vertical="center" wrapText="1" readingOrder="1"/>
    </xf>
    <xf numFmtId="0" fontId="29" fillId="17" borderId="14" xfId="5" applyFont="1" applyFill="1" applyBorder="1" applyAlignment="1" applyProtection="1">
      <alignment horizontal="right" vertical="center" wrapText="1" readingOrder="1"/>
    </xf>
    <xf numFmtId="0" fontId="29" fillId="17" borderId="2" xfId="5" applyFont="1" applyFill="1" applyBorder="1" applyAlignment="1" applyProtection="1">
      <alignment horizontal="right" vertical="center" wrapText="1" readingOrder="1"/>
    </xf>
    <xf numFmtId="0" fontId="30" fillId="4" borderId="3" xfId="0" applyFont="1" applyFill="1" applyBorder="1" applyAlignment="1" applyProtection="1">
      <alignment horizontal="right" vertical="center"/>
    </xf>
    <xf numFmtId="0" fontId="29" fillId="4" borderId="14" xfId="0" applyFont="1" applyFill="1" applyBorder="1" applyAlignment="1" applyProtection="1">
      <alignment horizontal="right" vertical="center"/>
    </xf>
    <xf numFmtId="0" fontId="29" fillId="4" borderId="2" xfId="0" applyFont="1" applyFill="1" applyBorder="1" applyAlignment="1" applyProtection="1">
      <alignment horizontal="right" vertical="center"/>
    </xf>
    <xf numFmtId="0" fontId="30" fillId="3" borderId="3" xfId="5" applyFont="1" applyFill="1" applyBorder="1" applyAlignment="1" applyProtection="1">
      <alignment horizontal="right" vertical="center" wrapText="1" readingOrder="1"/>
    </xf>
    <xf numFmtId="0" fontId="30" fillId="3" borderId="14" xfId="5" applyFont="1" applyFill="1" applyBorder="1" applyAlignment="1" applyProtection="1">
      <alignment horizontal="right" vertical="center" wrapText="1" readingOrder="1"/>
    </xf>
    <xf numFmtId="0" fontId="30" fillId="3" borderId="2" xfId="5" applyFont="1" applyFill="1" applyBorder="1" applyAlignment="1" applyProtection="1">
      <alignment horizontal="right" vertical="center" wrapText="1" readingOrder="1"/>
    </xf>
    <xf numFmtId="0" fontId="0" fillId="0" borderId="0" xfId="0" applyAlignment="1" applyProtection="1">
      <alignment horizontal="left" wrapText="1"/>
    </xf>
    <xf numFmtId="0" fontId="30" fillId="4" borderId="1" xfId="0" applyFont="1" applyFill="1" applyBorder="1" applyAlignment="1" applyProtection="1">
      <alignment horizontal="right" vertical="center"/>
    </xf>
    <xf numFmtId="0" fontId="29" fillId="4" borderId="1" xfId="0" applyFont="1" applyFill="1" applyBorder="1" applyAlignment="1" applyProtection="1">
      <alignment horizontal="right" vertical="center"/>
    </xf>
    <xf numFmtId="0" fontId="29" fillId="13" borderId="1" xfId="5" applyFont="1" applyFill="1" applyBorder="1" applyAlignment="1" applyProtection="1">
      <alignment horizontal="right" vertical="center" wrapText="1" readingOrder="1"/>
    </xf>
    <xf numFmtId="0" fontId="18" fillId="2" borderId="1" xfId="0" applyFont="1" applyFill="1" applyBorder="1" applyAlignment="1" applyProtection="1">
      <alignment horizontal="center" vertical="center" wrapText="1"/>
    </xf>
    <xf numFmtId="0" fontId="27" fillId="14" borderId="3" xfId="5" applyFont="1" applyFill="1" applyBorder="1" applyAlignment="1" applyProtection="1">
      <alignment horizontal="center" vertical="center"/>
      <protection locked="0"/>
    </xf>
    <xf numFmtId="0" fontId="27" fillId="14" borderId="2" xfId="5"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wrapText="1"/>
    </xf>
    <xf numFmtId="0" fontId="18" fillId="2" borderId="14" xfId="0" applyFont="1" applyFill="1" applyBorder="1" applyAlignment="1" applyProtection="1">
      <alignment horizontal="center" vertical="center" wrapText="1"/>
    </xf>
    <xf numFmtId="0" fontId="18" fillId="2" borderId="2" xfId="0" applyFont="1" applyFill="1" applyBorder="1" applyAlignment="1" applyProtection="1">
      <alignment horizontal="center" vertical="center" wrapText="1"/>
    </xf>
    <xf numFmtId="0" fontId="25" fillId="5" borderId="1" xfId="0" applyFont="1" applyFill="1" applyBorder="1" applyAlignment="1" applyProtection="1">
      <alignment horizontal="center" vertical="center" wrapText="1"/>
    </xf>
    <xf numFmtId="0" fontId="6" fillId="0" borderId="1" xfId="5" applyFont="1" applyFill="1" applyBorder="1" applyAlignment="1" applyProtection="1">
      <alignment horizontal="center" vertical="center"/>
    </xf>
    <xf numFmtId="166" fontId="6" fillId="0" borderId="1" xfId="5" applyNumberFormat="1" applyFont="1" applyFill="1" applyBorder="1" applyAlignment="1" applyProtection="1">
      <alignment horizontal="center" vertical="center"/>
    </xf>
    <xf numFmtId="166" fontId="6" fillId="5" borderId="1" xfId="5" applyNumberFormat="1" applyFont="1" applyFill="1" applyBorder="1" applyAlignment="1" applyProtection="1">
      <alignment horizontal="center" vertical="center"/>
    </xf>
    <xf numFmtId="0" fontId="16" fillId="2" borderId="1" xfId="0" applyFont="1" applyFill="1" applyBorder="1" applyAlignment="1" applyProtection="1">
      <alignment horizontal="center"/>
    </xf>
    <xf numFmtId="0" fontId="11" fillId="0" borderId="13" xfId="5" applyFont="1" applyFill="1" applyBorder="1" applyAlignment="1" applyProtection="1">
      <alignment horizontal="center" vertical="center" wrapText="1"/>
    </xf>
    <xf numFmtId="0" fontId="11" fillId="0" borderId="15" xfId="5" applyFont="1" applyFill="1" applyBorder="1" applyAlignment="1" applyProtection="1">
      <alignment horizontal="center" vertical="center" wrapText="1"/>
    </xf>
    <xf numFmtId="166" fontId="6" fillId="0" borderId="1" xfId="5" applyNumberFormat="1" applyFont="1" applyFill="1" applyBorder="1" applyAlignment="1" applyProtection="1">
      <alignment horizontal="center" vertical="center" wrapText="1"/>
    </xf>
    <xf numFmtId="0" fontId="15" fillId="2" borderId="3" xfId="5" applyFont="1" applyFill="1" applyBorder="1" applyAlignment="1" applyProtection="1">
      <alignment horizontal="center" vertical="center" wrapText="1"/>
    </xf>
    <xf numFmtId="0" fontId="15" fillId="2" borderId="2" xfId="5" applyFont="1" applyFill="1" applyBorder="1" applyAlignment="1" applyProtection="1">
      <alignment horizontal="center" vertical="center" wrapText="1"/>
    </xf>
    <xf numFmtId="169" fontId="6" fillId="5" borderId="1" xfId="5" applyNumberFormat="1" applyFont="1" applyFill="1" applyBorder="1" applyAlignment="1" applyProtection="1">
      <alignment horizontal="center" vertical="center"/>
    </xf>
    <xf numFmtId="0" fontId="22" fillId="7" borderId="1" xfId="0" applyFont="1" applyFill="1" applyBorder="1" applyAlignment="1" applyProtection="1">
      <alignment horizontal="center" vertical="center" wrapText="1"/>
    </xf>
    <xf numFmtId="0" fontId="11" fillId="0" borderId="1" xfId="5" applyFont="1" applyFill="1" applyBorder="1" applyAlignment="1" applyProtection="1">
      <alignment horizontal="center" vertical="center" wrapText="1"/>
    </xf>
    <xf numFmtId="0" fontId="19" fillId="0" borderId="3" xfId="0" applyFont="1" applyBorder="1" applyAlignment="1" applyProtection="1">
      <alignment horizontal="center" vertical="center" readingOrder="1"/>
    </xf>
    <xf numFmtId="0" fontId="19" fillId="0" borderId="2" xfId="0" applyFont="1" applyBorder="1" applyAlignment="1" applyProtection="1">
      <alignment horizontal="center" vertical="center" readingOrder="1"/>
    </xf>
    <xf numFmtId="0" fontId="13" fillId="15" borderId="1" xfId="5" applyFont="1" applyFill="1" applyBorder="1" applyAlignment="1" applyProtection="1">
      <alignment horizontal="center" vertical="center" wrapText="1" readingOrder="1"/>
    </xf>
    <xf numFmtId="0" fontId="6" fillId="5" borderId="1" xfId="5" applyFont="1" applyFill="1" applyBorder="1" applyAlignment="1" applyProtection="1">
      <alignment horizontal="center" vertical="center"/>
    </xf>
    <xf numFmtId="0" fontId="13" fillId="13" borderId="1" xfId="5" applyFont="1" applyFill="1" applyBorder="1" applyAlignment="1" applyProtection="1">
      <alignment horizontal="center" vertical="center" wrapText="1" readingOrder="1"/>
    </xf>
    <xf numFmtId="0" fontId="37" fillId="5" borderId="1" xfId="5" applyFont="1" applyFill="1" applyBorder="1" applyAlignment="1" applyProtection="1">
      <alignment horizontal="center" vertical="center" wrapText="1" readingOrder="1"/>
    </xf>
    <xf numFmtId="0" fontId="13" fillId="5" borderId="1" xfId="5" applyFont="1" applyFill="1" applyBorder="1" applyAlignment="1" applyProtection="1">
      <alignment horizontal="center" vertical="center" wrapText="1" readingOrder="1"/>
    </xf>
    <xf numFmtId="0" fontId="36" fillId="5" borderId="13" xfId="0" applyFont="1" applyFill="1" applyBorder="1" applyAlignment="1" applyProtection="1">
      <alignment horizontal="center" vertical="center" wrapText="1"/>
    </xf>
    <xf numFmtId="0" fontId="36" fillId="5" borderId="15" xfId="0" applyFont="1" applyFill="1" applyBorder="1" applyAlignment="1" applyProtection="1">
      <alignment horizontal="center" vertical="center" wrapText="1"/>
    </xf>
    <xf numFmtId="0" fontId="25" fillId="5" borderId="6" xfId="0" applyFont="1" applyFill="1" applyBorder="1" applyAlignment="1" applyProtection="1">
      <alignment horizontal="center" wrapText="1"/>
    </xf>
    <xf numFmtId="0" fontId="25" fillId="5" borderId="7" xfId="0" applyFont="1" applyFill="1" applyBorder="1" applyAlignment="1" applyProtection="1">
      <alignment horizontal="center" wrapText="1"/>
    </xf>
    <xf numFmtId="0" fontId="25" fillId="5" borderId="8" xfId="0" applyFont="1" applyFill="1" applyBorder="1" applyAlignment="1" applyProtection="1">
      <alignment horizontal="center" wrapText="1"/>
    </xf>
    <xf numFmtId="0" fontId="25" fillId="5" borderId="11" xfId="0" applyFont="1" applyFill="1" applyBorder="1" applyAlignment="1" applyProtection="1">
      <alignment horizontal="center" wrapText="1"/>
    </xf>
    <xf numFmtId="0" fontId="25" fillId="5" borderId="12" xfId="0" applyFont="1" applyFill="1" applyBorder="1" applyAlignment="1" applyProtection="1">
      <alignment horizontal="center" wrapText="1"/>
    </xf>
    <xf numFmtId="0" fontId="25" fillId="5" borderId="10" xfId="0" applyFont="1" applyFill="1" applyBorder="1" applyAlignment="1" applyProtection="1">
      <alignment horizontal="center" wrapText="1"/>
    </xf>
    <xf numFmtId="0" fontId="25" fillId="5" borderId="6" xfId="0" applyFont="1" applyFill="1" applyBorder="1" applyAlignment="1" applyProtection="1">
      <alignment horizontal="center" vertical="center" wrapText="1"/>
    </xf>
    <xf numFmtId="0" fontId="25" fillId="5" borderId="7" xfId="0" applyFont="1" applyFill="1" applyBorder="1" applyAlignment="1" applyProtection="1">
      <alignment horizontal="center" vertical="center" wrapText="1"/>
    </xf>
    <xf numFmtId="0" fontId="25" fillId="5" borderId="8" xfId="0" applyFont="1" applyFill="1" applyBorder="1" applyAlignment="1" applyProtection="1">
      <alignment horizontal="center" vertical="center" wrapText="1"/>
    </xf>
    <xf numFmtId="0" fontId="25" fillId="5" borderId="11" xfId="0" applyFont="1" applyFill="1" applyBorder="1" applyAlignment="1" applyProtection="1">
      <alignment horizontal="center" vertical="center" wrapText="1"/>
    </xf>
    <xf numFmtId="0" fontId="25" fillId="5" borderId="12" xfId="0" applyFont="1" applyFill="1" applyBorder="1" applyAlignment="1" applyProtection="1">
      <alignment horizontal="center" vertical="center" wrapText="1"/>
    </xf>
    <xf numFmtId="0" fontId="25" fillId="5" borderId="10" xfId="0" applyFont="1" applyFill="1" applyBorder="1" applyAlignment="1" applyProtection="1">
      <alignment horizontal="center" vertical="center" wrapText="1"/>
    </xf>
    <xf numFmtId="0" fontId="16" fillId="2" borderId="3" xfId="0" applyFont="1" applyFill="1" applyBorder="1" applyAlignment="1" applyProtection="1">
      <alignment horizontal="center"/>
    </xf>
    <xf numFmtId="0" fontId="16" fillId="2" borderId="14" xfId="0" applyFont="1" applyFill="1" applyBorder="1" applyAlignment="1" applyProtection="1">
      <alignment horizontal="center"/>
    </xf>
    <xf numFmtId="0" fontId="16" fillId="2" borderId="2" xfId="0" applyFont="1" applyFill="1" applyBorder="1" applyAlignment="1" applyProtection="1">
      <alignment horizontal="center"/>
    </xf>
    <xf numFmtId="0" fontId="17" fillId="3" borderId="1" xfId="5" applyFont="1" applyFill="1" applyBorder="1" applyAlignment="1" applyProtection="1">
      <alignment horizontal="center" vertical="center" wrapText="1" readingOrder="1"/>
    </xf>
    <xf numFmtId="0" fontId="13" fillId="17" borderId="1" xfId="5" applyFont="1" applyFill="1" applyBorder="1" applyAlignment="1" applyProtection="1">
      <alignment horizontal="center" vertical="center" wrapText="1" readingOrder="1"/>
    </xf>
    <xf numFmtId="0" fontId="13" fillId="16" borderId="1" xfId="5" applyFont="1" applyFill="1" applyBorder="1" applyAlignment="1" applyProtection="1">
      <alignment horizontal="center" vertical="center" wrapText="1" readingOrder="1"/>
    </xf>
    <xf numFmtId="0" fontId="13" fillId="19" borderId="1" xfId="5" applyFont="1" applyFill="1" applyBorder="1" applyAlignment="1" applyProtection="1">
      <alignment horizontal="center" vertical="center" wrapText="1" readingOrder="1"/>
    </xf>
    <xf numFmtId="0" fontId="13" fillId="18" borderId="1" xfId="5" applyFont="1" applyFill="1" applyBorder="1" applyAlignment="1" applyProtection="1">
      <alignment horizontal="center" vertical="center" wrapText="1" readingOrder="1"/>
    </xf>
    <xf numFmtId="0" fontId="4" fillId="22" borderId="13" xfId="0" applyFont="1" applyFill="1" applyBorder="1" applyAlignment="1" applyProtection="1">
      <alignment horizontal="center" vertical="center" readingOrder="1"/>
    </xf>
    <xf numFmtId="0" fontId="4" fillId="22" borderId="15" xfId="0" applyFont="1" applyFill="1" applyBorder="1" applyAlignment="1" applyProtection="1">
      <alignment horizontal="center" vertical="center" readingOrder="1"/>
    </xf>
    <xf numFmtId="0" fontId="0" fillId="20" borderId="13" xfId="0" applyFill="1" applyBorder="1" applyAlignment="1" applyProtection="1">
      <alignment horizontal="center" vertical="center"/>
    </xf>
    <xf numFmtId="0" fontId="0" fillId="20" borderId="15" xfId="0" applyFill="1" applyBorder="1" applyAlignment="1" applyProtection="1">
      <alignment horizontal="center" vertical="center"/>
    </xf>
    <xf numFmtId="0" fontId="0" fillId="21" borderId="13" xfId="0" applyFill="1" applyBorder="1" applyAlignment="1" applyProtection="1">
      <alignment horizontal="center" vertical="center"/>
    </xf>
    <xf numFmtId="0" fontId="0" fillId="21" borderId="15" xfId="0" applyFill="1" applyBorder="1" applyAlignment="1" applyProtection="1">
      <alignment horizontal="center" vertical="center"/>
    </xf>
    <xf numFmtId="0" fontId="0" fillId="23" borderId="13" xfId="0" applyFill="1" applyBorder="1" applyAlignment="1" applyProtection="1">
      <alignment horizontal="center" vertical="center"/>
    </xf>
    <xf numFmtId="0" fontId="0" fillId="23" borderId="15" xfId="0" applyFill="1" applyBorder="1" applyAlignment="1" applyProtection="1">
      <alignment horizontal="center" vertical="center"/>
    </xf>
    <xf numFmtId="0" fontId="26" fillId="2" borderId="6" xfId="0" applyFont="1" applyFill="1" applyBorder="1" applyAlignment="1" applyProtection="1">
      <alignment horizontal="left"/>
    </xf>
    <xf numFmtId="0" fontId="26" fillId="2" borderId="7" xfId="0" applyFont="1" applyFill="1" applyBorder="1" applyAlignment="1" applyProtection="1">
      <alignment horizontal="left"/>
    </xf>
    <xf numFmtId="0" fontId="26" fillId="2" borderId="8" xfId="0" applyFont="1" applyFill="1" applyBorder="1" applyAlignment="1" applyProtection="1">
      <alignment horizontal="left"/>
    </xf>
    <xf numFmtId="0" fontId="26" fillId="2" borderId="5" xfId="0" applyFont="1" applyFill="1" applyBorder="1" applyAlignment="1" applyProtection="1">
      <alignment horizontal="left" wrapText="1"/>
    </xf>
    <xf numFmtId="0" fontId="26" fillId="2" borderId="0" xfId="0" applyFont="1" applyFill="1" applyBorder="1" applyAlignment="1" applyProtection="1">
      <alignment horizontal="left" wrapText="1"/>
    </xf>
    <xf numFmtId="0" fontId="26" fillId="2" borderId="9" xfId="0" applyFont="1" applyFill="1" applyBorder="1" applyAlignment="1" applyProtection="1">
      <alignment horizontal="left" wrapText="1"/>
    </xf>
    <xf numFmtId="0" fontId="26" fillId="2" borderId="11" xfId="0" applyFont="1" applyFill="1" applyBorder="1" applyAlignment="1" applyProtection="1">
      <alignment horizontal="left" wrapText="1"/>
    </xf>
    <xf numFmtId="0" fontId="26" fillId="2" borderId="12" xfId="0" applyFont="1" applyFill="1" applyBorder="1" applyAlignment="1" applyProtection="1">
      <alignment horizontal="left" wrapText="1"/>
    </xf>
    <xf numFmtId="0" fontId="26" fillId="2" borderId="10" xfId="0" applyFont="1" applyFill="1" applyBorder="1" applyAlignment="1" applyProtection="1">
      <alignment horizontal="left" wrapText="1"/>
    </xf>
    <xf numFmtId="0" fontId="26" fillId="2" borderId="7" xfId="0" applyFont="1" applyFill="1" applyBorder="1" applyAlignment="1" applyProtection="1">
      <alignment horizontal="center" wrapText="1"/>
    </xf>
    <xf numFmtId="0" fontId="26" fillId="5" borderId="1" xfId="0" applyFont="1" applyFill="1" applyBorder="1" applyAlignment="1" applyProtection="1">
      <alignment horizontal="left"/>
    </xf>
    <xf numFmtId="0" fontId="26" fillId="5" borderId="1" xfId="0" applyNumberFormat="1" applyFont="1" applyFill="1" applyBorder="1" applyAlignment="1" applyProtection="1">
      <alignment horizontal="left"/>
    </xf>
    <xf numFmtId="0" fontId="22" fillId="10" borderId="6" xfId="0" applyFont="1" applyFill="1" applyBorder="1" applyAlignment="1" applyProtection="1">
      <alignment horizontal="center" vertical="center" wrapText="1"/>
      <protection locked="0"/>
    </xf>
    <xf numFmtId="0" fontId="22" fillId="10" borderId="7" xfId="0" applyFont="1" applyFill="1" applyBorder="1" applyAlignment="1" applyProtection="1">
      <alignment horizontal="center" vertical="center" wrapText="1"/>
      <protection locked="0"/>
    </xf>
    <xf numFmtId="0" fontId="22" fillId="10" borderId="8" xfId="0" applyFont="1" applyFill="1" applyBorder="1" applyAlignment="1" applyProtection="1">
      <alignment horizontal="center" vertical="center" wrapText="1"/>
      <protection locked="0"/>
    </xf>
    <xf numFmtId="0" fontId="22" fillId="10" borderId="5" xfId="0" applyFont="1" applyFill="1" applyBorder="1" applyAlignment="1" applyProtection="1">
      <alignment horizontal="center" vertical="center" wrapText="1"/>
      <protection locked="0"/>
    </xf>
    <xf numFmtId="0" fontId="22" fillId="10" borderId="0" xfId="0" applyFont="1" applyFill="1" applyBorder="1" applyAlignment="1" applyProtection="1">
      <alignment horizontal="center" vertical="center" wrapText="1"/>
      <protection locked="0"/>
    </xf>
    <xf numFmtId="0" fontId="22" fillId="10" borderId="9" xfId="0" applyFont="1" applyFill="1" applyBorder="1" applyAlignment="1" applyProtection="1">
      <alignment horizontal="center" vertical="center" wrapText="1"/>
      <protection locked="0"/>
    </xf>
    <xf numFmtId="0" fontId="24" fillId="10" borderId="12" xfId="0" applyFont="1" applyFill="1" applyBorder="1" applyAlignment="1" applyProtection="1">
      <alignment horizontal="center" vertical="center"/>
      <protection locked="0"/>
    </xf>
    <xf numFmtId="0" fontId="22" fillId="10" borderId="5" xfId="0" applyFont="1" applyFill="1" applyBorder="1" applyAlignment="1" applyProtection="1">
      <alignment horizontal="center" vertical="center"/>
      <protection locked="0"/>
    </xf>
    <xf numFmtId="0" fontId="22" fillId="10" borderId="0" xfId="0" applyFont="1" applyFill="1" applyBorder="1" applyAlignment="1" applyProtection="1">
      <alignment horizontal="center" vertical="center"/>
      <protection locked="0"/>
    </xf>
    <xf numFmtId="1" fontId="22" fillId="12" borderId="13" xfId="0" applyNumberFormat="1" applyFont="1" applyFill="1" applyBorder="1" applyAlignment="1" applyProtection="1">
      <alignment horizontal="center" vertical="center"/>
    </xf>
    <xf numFmtId="1" fontId="22" fillId="12" borderId="15" xfId="0" applyNumberFormat="1" applyFont="1" applyFill="1" applyBorder="1" applyAlignment="1" applyProtection="1">
      <alignment horizontal="center" vertical="center"/>
    </xf>
    <xf numFmtId="0" fontId="16" fillId="2" borderId="5" xfId="0" applyFont="1" applyFill="1" applyBorder="1" applyAlignment="1">
      <alignment horizontal="center"/>
    </xf>
    <xf numFmtId="0" fontId="16" fillId="2" borderId="0" xfId="0" applyFont="1" applyFill="1" applyBorder="1" applyAlignment="1">
      <alignment horizontal="center"/>
    </xf>
    <xf numFmtId="0" fontId="22" fillId="2" borderId="5" xfId="0" applyFont="1" applyFill="1" applyBorder="1" applyAlignment="1" applyProtection="1">
      <alignment horizontal="center" vertical="center"/>
      <protection locked="0"/>
    </xf>
    <xf numFmtId="0" fontId="22" fillId="2" borderId="0" xfId="0" applyFont="1" applyFill="1" applyBorder="1" applyAlignment="1" applyProtection="1">
      <alignment horizontal="center" vertical="center"/>
      <protection locked="0"/>
    </xf>
    <xf numFmtId="0" fontId="22" fillId="2" borderId="5" xfId="0" applyFont="1" applyFill="1" applyBorder="1" applyAlignment="1" applyProtection="1">
      <alignment horizontal="left" vertical="center"/>
      <protection locked="0"/>
    </xf>
    <xf numFmtId="0" fontId="22" fillId="2" borderId="0" xfId="0" applyFont="1" applyFill="1" applyBorder="1" applyAlignment="1" applyProtection="1">
      <alignment horizontal="left" vertical="center"/>
      <protection locked="0"/>
    </xf>
  </cellXfs>
  <cellStyles count="40">
    <cellStyle name="Besuchter Hyperlink" xfId="7" builtinId="9" hidden="1"/>
    <cellStyle name="Besuchter Hyperlink" xfId="9" builtinId="9" hidden="1"/>
    <cellStyle name="Besuchter Hyperlink" xfId="11" builtinId="9" hidden="1"/>
    <cellStyle name="Besuchter Hyperlink" xfId="13" builtinId="9" hidden="1"/>
    <cellStyle name="Besuchter Hyperlink" xfId="15" builtinId="9" hidden="1"/>
    <cellStyle name="Besuchter Hyperlink" xfId="17" builtinId="9" hidden="1"/>
    <cellStyle name="Besuchter Hyperlink" xfId="19" builtinId="9" hidden="1"/>
    <cellStyle name="Besuchter Hyperlink" xfId="21" builtinId="9" hidden="1"/>
    <cellStyle name="Besuchter Hyperlink" xfId="23" builtinId="9" hidden="1"/>
    <cellStyle name="Besuchter Hyperlink" xfId="25" builtinId="9" hidden="1"/>
    <cellStyle name="Besuchter Hyperlink" xfId="27" builtinId="9" hidden="1"/>
    <cellStyle name="Besuchter Hyperlink" xfId="29" builtinId="9" hidden="1"/>
    <cellStyle name="Besuchter Hyperlink" xfId="31" builtinId="9" hidden="1"/>
    <cellStyle name="Besuchter Hyperlink" xfId="33" builtinId="9" hidden="1"/>
    <cellStyle name="Ergebnis" xfId="5" builtinId="25"/>
    <cellStyle name="Hiperhivatkozás_BUDAPES01" xfId="2" xr:uid="{00000000-0005-0000-0000-00000F000000}"/>
    <cellStyle name="Link" xfId="6" builtinId="8" hidden="1"/>
    <cellStyle name="Link" xfId="8" builtinId="8" hidden="1"/>
    <cellStyle name="Link" xfId="10" builtinId="8" hidden="1"/>
    <cellStyle name="Link" xfId="12" builtinId="8" hidden="1"/>
    <cellStyle name="Link" xfId="14" builtinId="8" hidden="1"/>
    <cellStyle name="Link" xfId="16" builtinId="8" hidden="1"/>
    <cellStyle name="Link" xfId="18" builtinId="8" hidden="1"/>
    <cellStyle name="Link" xfId="20" builtinId="8" hidden="1"/>
    <cellStyle name="Link" xfId="22" builtinId="8" hidden="1"/>
    <cellStyle name="Link" xfId="24" builtinId="8" hidden="1"/>
    <cellStyle name="Link" xfId="26" builtinId="8" hidden="1"/>
    <cellStyle name="Link" xfId="28" builtinId="8" hidden="1"/>
    <cellStyle name="Link" xfId="30" builtinId="8" hidden="1"/>
    <cellStyle name="Link" xfId="32" builtinId="8" hidden="1"/>
    <cellStyle name="Normál 2" xfId="3" xr:uid="{00000000-0005-0000-0000-00001E000000}"/>
    <cellStyle name="Normál_BUDAPES01" xfId="1" xr:uid="{00000000-0005-0000-0000-00001F000000}"/>
    <cellStyle name="Prozent" xfId="35" builtinId="5"/>
    <cellStyle name="Standard" xfId="0" builtinId="0"/>
    <cellStyle name="Standard 2" xfId="37" xr:uid="{00000000-0005-0000-0000-00002F000000}"/>
    <cellStyle name="Standard 3" xfId="38" xr:uid="{00000000-0005-0000-0000-000030000000}"/>
    <cellStyle name="Standard 4" xfId="39" xr:uid="{00000000-0005-0000-0000-000031000000}"/>
    <cellStyle name="Standard 5" xfId="36" xr:uid="{00000000-0005-0000-0000-00004F000000}"/>
    <cellStyle name="Total 2" xfId="4" xr:uid="{00000000-0005-0000-0000-000022000000}"/>
    <cellStyle name="Währung" xfId="34" builtinId="4"/>
  </cellStyles>
  <dxfs count="24">
    <dxf>
      <font>
        <color rgb="FF9C0006"/>
      </font>
    </dxf>
    <dxf>
      <font>
        <color rgb="FF9C0006"/>
      </font>
    </dxf>
    <dxf>
      <font>
        <color rgb="FF9C0006"/>
      </font>
    </dxf>
    <dxf>
      <font>
        <color rgb="FF9C0006"/>
      </font>
    </dxf>
    <dxf>
      <font>
        <color rgb="FF9C0006"/>
      </font>
      <fill>
        <patternFill>
          <bgColor theme="0" tint="-0.14996795556505021"/>
        </patternFill>
      </fill>
    </dxf>
    <dxf>
      <font>
        <color rgb="FF9C0006"/>
      </font>
      <fill>
        <patternFill>
          <bgColor rgb="FFFFC7CE"/>
        </patternFill>
      </fill>
    </dxf>
    <dxf>
      <font>
        <color theme="6" tint="-0.499984740745262"/>
      </font>
      <fill>
        <patternFill>
          <bgColor theme="6" tint="0.79998168889431442"/>
        </patternFill>
      </fill>
    </dxf>
    <dxf>
      <font>
        <color theme="6" tint="-0.499984740745262"/>
      </font>
      <fill>
        <patternFill>
          <bgColor theme="6" tint="0.79998168889431442"/>
        </patternFill>
      </fill>
    </dxf>
    <dxf>
      <font>
        <color rgb="FF9C0006"/>
      </font>
    </dxf>
    <dxf>
      <font>
        <color theme="6" tint="-0.24994659260841701"/>
      </font>
      <fill>
        <patternFill>
          <bgColor theme="6" tint="0.79998168889431442"/>
        </patternFill>
      </fill>
    </dxf>
    <dxf>
      <font>
        <color theme="6" tint="-0.499984740745262"/>
      </font>
      <fill>
        <patternFill>
          <bgColor theme="6" tint="0.79998168889431442"/>
        </patternFill>
      </fill>
    </dxf>
    <dxf>
      <font>
        <color theme="6" tint="-0.499984740745262"/>
      </font>
      <fill>
        <patternFill>
          <bgColor theme="6" tint="0.79998168889431442"/>
        </patternFill>
      </fill>
    </dxf>
    <dxf>
      <font>
        <color theme="6" tint="-0.499984740745262"/>
      </font>
      <fill>
        <patternFill>
          <bgColor theme="6" tint="0.79998168889431442"/>
        </patternFill>
      </fill>
    </dxf>
    <dxf>
      <font>
        <color theme="6" tint="-0.499984740745262"/>
      </font>
      <fill>
        <patternFill>
          <bgColor theme="6" tint="0.59996337778862885"/>
        </patternFill>
      </fill>
    </dxf>
    <dxf>
      <font>
        <color rgb="FF9C0006"/>
      </font>
    </dxf>
    <dxf>
      <font>
        <color rgb="FF9C0006"/>
      </font>
    </dxf>
    <dxf>
      <font>
        <color rgb="FF9C0006"/>
      </font>
    </dxf>
    <dxf>
      <font>
        <color rgb="FF9C0006"/>
      </font>
    </dxf>
    <dxf>
      <font>
        <color theme="6" tint="-0.24994659260841701"/>
      </font>
      <fill>
        <patternFill>
          <bgColor theme="6" tint="0.79998168889431442"/>
        </patternFill>
      </fill>
    </dxf>
    <dxf>
      <font>
        <color theme="6" tint="-0.499984740745262"/>
      </font>
      <fill>
        <patternFill>
          <bgColor theme="6" tint="0.79998168889431442"/>
        </patternFill>
      </fill>
    </dxf>
    <dxf>
      <font>
        <color rgb="FF9C0006"/>
      </font>
    </dxf>
    <dxf>
      <font>
        <color rgb="FF9C0006"/>
      </font>
    </dxf>
    <dxf>
      <font>
        <color rgb="FF9C0006"/>
      </font>
    </dxf>
    <dxf>
      <font>
        <color rgb="FF9C0006"/>
      </font>
    </dxf>
  </dxfs>
  <tableStyles count="0" defaultTableStyle="TableStyleMedium2" defaultPivotStyle="PivotStyleLight16"/>
  <colors>
    <mruColors>
      <color rgb="FF99CCFF"/>
      <color rgb="FFD8E4BC"/>
      <color rgb="FF008E40"/>
      <color rgb="FFB8CCE4"/>
      <color rgb="FFFFECAF"/>
      <color rgb="FFFCD5B4"/>
      <color rgb="FFE6B8B7"/>
      <color rgb="FFDAEEF3"/>
      <color rgb="FFFFCB25"/>
      <color rgb="FF94B5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J47"/>
  <sheetViews>
    <sheetView tabSelected="1" view="pageBreakPreview" zoomScaleNormal="100" zoomScaleSheetLayoutView="100" zoomScalePageLayoutView="115" workbookViewId="0">
      <selection activeCell="P14" sqref="P14"/>
    </sheetView>
  </sheetViews>
  <sheetFormatPr baseColWidth="10" defaultColWidth="8.7109375" defaultRowHeight="15" x14ac:dyDescent="0.25"/>
  <cols>
    <col min="1" max="1" width="0.7109375" style="20" customWidth="1"/>
    <col min="2" max="2" width="12.140625" style="20" customWidth="1"/>
    <col min="3" max="3" width="11.140625" style="20" customWidth="1"/>
    <col min="4" max="4" width="11.140625" style="24" customWidth="1"/>
    <col min="5" max="5" width="14.140625" style="24" customWidth="1"/>
    <col min="6" max="6" width="9.28515625" style="24" customWidth="1"/>
    <col min="7" max="7" width="16.85546875" style="24" customWidth="1"/>
    <col min="8" max="8" width="13.140625" style="24" customWidth="1"/>
    <col min="9" max="9" width="9.42578125" style="20" customWidth="1"/>
    <col min="10" max="10" width="16.85546875" style="20" customWidth="1"/>
    <col min="11" max="11" width="12.140625" style="20" customWidth="1"/>
    <col min="12" max="16384" width="8.7109375" style="20"/>
  </cols>
  <sheetData>
    <row r="1" spans="2:10" ht="25.5" customHeight="1" x14ac:dyDescent="0.3">
      <c r="B1" s="54" t="s">
        <v>1137</v>
      </c>
      <c r="C1" s="28"/>
      <c r="D1" s="28"/>
      <c r="E1" s="20"/>
      <c r="F1" s="20"/>
      <c r="G1" s="20"/>
      <c r="H1" s="20"/>
      <c r="I1" s="21"/>
    </row>
    <row r="2" spans="2:10" ht="9" customHeight="1" x14ac:dyDescent="0.25">
      <c r="B2" s="28"/>
      <c r="C2" s="28"/>
      <c r="D2" s="28"/>
      <c r="E2" s="20"/>
      <c r="F2" s="20"/>
      <c r="G2" s="20"/>
      <c r="H2" s="20"/>
      <c r="I2" s="21"/>
    </row>
    <row r="3" spans="2:10" x14ac:dyDescent="0.25">
      <c r="B3" s="169" t="s">
        <v>755</v>
      </c>
      <c r="C3" s="170"/>
      <c r="D3" s="171"/>
      <c r="E3" s="179" t="s">
        <v>1145</v>
      </c>
      <c r="F3" s="180"/>
      <c r="G3" s="180"/>
      <c r="H3" s="180"/>
      <c r="I3" s="180"/>
      <c r="J3" s="181"/>
    </row>
    <row r="4" spans="2:10" ht="9.4" customHeight="1" x14ac:dyDescent="0.25">
      <c r="B4" s="29"/>
      <c r="C4" s="29"/>
      <c r="D4" s="30"/>
      <c r="E4" s="40"/>
      <c r="F4" s="40"/>
      <c r="G4" s="40"/>
      <c r="H4" s="40"/>
      <c r="I4" s="41"/>
      <c r="J4" s="42"/>
    </row>
    <row r="5" spans="2:10" x14ac:dyDescent="0.25">
      <c r="B5" s="169" t="s">
        <v>32</v>
      </c>
      <c r="C5" s="170"/>
      <c r="D5" s="171"/>
      <c r="E5" s="178" t="str">
        <f>IFERROR(VLOOKUP(E3,Referenzblatt!A3:C349,2,FALSE),"")</f>
        <v/>
      </c>
      <c r="F5" s="178"/>
      <c r="G5" s="178"/>
      <c r="H5" s="178"/>
      <c r="I5" s="178"/>
      <c r="J5" s="178"/>
    </row>
    <row r="6" spans="2:10" ht="8.65" customHeight="1" x14ac:dyDescent="0.25">
      <c r="B6" s="29"/>
      <c r="C6" s="29"/>
      <c r="D6" s="30"/>
      <c r="E6" s="40"/>
      <c r="F6" s="40"/>
      <c r="G6" s="40"/>
      <c r="H6" s="40"/>
      <c r="I6" s="41"/>
      <c r="J6" s="42"/>
    </row>
    <row r="7" spans="2:10" x14ac:dyDescent="0.25">
      <c r="B7" s="169" t="s">
        <v>41</v>
      </c>
      <c r="C7" s="170"/>
      <c r="D7" s="171"/>
      <c r="E7" s="178" t="str">
        <f>IFERROR(VLOOKUP(E3,Referenzblatt!A3:C349,3,FALSE),"")</f>
        <v/>
      </c>
      <c r="F7" s="178"/>
      <c r="G7" s="178"/>
      <c r="H7" s="178"/>
      <c r="I7" s="178"/>
      <c r="J7" s="178"/>
    </row>
    <row r="8" spans="2:10" ht="9" customHeight="1" x14ac:dyDescent="0.25">
      <c r="B8" s="29"/>
      <c r="C8" s="29"/>
      <c r="D8" s="30"/>
      <c r="E8" s="40"/>
      <c r="F8" s="40"/>
      <c r="G8" s="40"/>
      <c r="H8" s="40"/>
      <c r="I8" s="41"/>
      <c r="J8" s="42"/>
    </row>
    <row r="9" spans="2:10" x14ac:dyDescent="0.25">
      <c r="B9" s="169" t="s">
        <v>415</v>
      </c>
      <c r="C9" s="170"/>
      <c r="D9" s="171"/>
      <c r="E9" s="185"/>
      <c r="F9" s="185"/>
      <c r="G9" s="185"/>
      <c r="H9" s="185"/>
      <c r="I9" s="185"/>
      <c r="J9" s="185"/>
    </row>
    <row r="10" spans="2:10" ht="9.4" customHeight="1" x14ac:dyDescent="0.25">
      <c r="B10" s="29"/>
      <c r="C10" s="29"/>
      <c r="D10" s="30"/>
      <c r="E10" s="40"/>
      <c r="F10" s="40"/>
      <c r="G10" s="40"/>
      <c r="H10" s="40"/>
      <c r="I10" s="41"/>
      <c r="J10" s="42"/>
    </row>
    <row r="11" spans="2:10" x14ac:dyDescent="0.25">
      <c r="B11" s="169" t="s">
        <v>359</v>
      </c>
      <c r="C11" s="170"/>
      <c r="D11" s="171"/>
      <c r="E11" s="186"/>
      <c r="F11" s="186"/>
      <c r="G11" s="186"/>
      <c r="H11" s="186"/>
      <c r="I11" s="186"/>
      <c r="J11" s="186"/>
    </row>
    <row r="12" spans="2:10" ht="9.4" customHeight="1" x14ac:dyDescent="0.25">
      <c r="B12" s="29"/>
      <c r="C12" s="29"/>
      <c r="D12" s="30"/>
      <c r="E12" s="29"/>
      <c r="F12" s="29"/>
      <c r="G12" s="29"/>
      <c r="H12" s="29"/>
      <c r="I12" s="21"/>
    </row>
    <row r="13" spans="2:10" ht="28.15" customHeight="1" x14ac:dyDescent="0.25">
      <c r="B13" s="28"/>
      <c r="C13" s="28"/>
      <c r="D13" s="28"/>
      <c r="E13" s="175" t="s">
        <v>34</v>
      </c>
      <c r="F13" s="176"/>
      <c r="G13" s="177"/>
      <c r="H13" s="182" t="s">
        <v>357</v>
      </c>
      <c r="I13" s="183"/>
      <c r="J13" s="184"/>
    </row>
    <row r="14" spans="2:10" ht="48" x14ac:dyDescent="0.25">
      <c r="B14" s="27"/>
      <c r="C14" s="27"/>
      <c r="D14" s="144"/>
      <c r="E14" s="58" t="s">
        <v>0</v>
      </c>
      <c r="F14" s="56" t="s">
        <v>360</v>
      </c>
      <c r="G14" s="55" t="s">
        <v>1</v>
      </c>
      <c r="H14" s="57" t="s">
        <v>0</v>
      </c>
      <c r="I14" s="56" t="s">
        <v>360</v>
      </c>
      <c r="J14" s="58" t="s">
        <v>1</v>
      </c>
    </row>
    <row r="15" spans="2:10" ht="28.9" customHeight="1" x14ac:dyDescent="0.25">
      <c r="B15" s="172" t="s">
        <v>37</v>
      </c>
      <c r="C15" s="173"/>
      <c r="D15" s="174"/>
      <c r="E15" s="34" t="str">
        <f>Mobilitätsangaben!D4</f>
        <v xml:space="preserve"> </v>
      </c>
      <c r="F15" s="34" t="str">
        <f>Mobilitätsangaben!D5</f>
        <v xml:space="preserve"> </v>
      </c>
      <c r="G15" s="153" t="str">
        <f>Mobilitätsangaben!D6</f>
        <v xml:space="preserve"> </v>
      </c>
      <c r="H15" s="34">
        <f>Mobilitätsangaben!H4</f>
        <v>0</v>
      </c>
      <c r="I15" s="34">
        <f>Mobilitätsangaben!H5</f>
        <v>0</v>
      </c>
      <c r="J15" s="153">
        <f>Mobilitätsangaben!H6</f>
        <v>0</v>
      </c>
    </row>
    <row r="16" spans="2:10" ht="28.9" customHeight="1" x14ac:dyDescent="0.25">
      <c r="B16" s="187" t="s">
        <v>38</v>
      </c>
      <c r="C16" s="188"/>
      <c r="D16" s="189"/>
      <c r="E16" s="34" t="str">
        <f>Mobilitätsangaben!D8</f>
        <v xml:space="preserve"> </v>
      </c>
      <c r="F16" s="34" t="str">
        <f>Mobilitätsangaben!D9</f>
        <v xml:space="preserve"> </v>
      </c>
      <c r="G16" s="153" t="str">
        <f>Mobilitätsangaben!D10</f>
        <v xml:space="preserve"> </v>
      </c>
      <c r="H16" s="34">
        <f>Mobilitätsangaben!H8</f>
        <v>0</v>
      </c>
      <c r="I16" s="34">
        <f>Mobilitätsangaben!H9</f>
        <v>0</v>
      </c>
      <c r="J16" s="153">
        <f>Mobilitätsangaben!H10</f>
        <v>0</v>
      </c>
    </row>
    <row r="17" spans="2:10" ht="28.9" customHeight="1" x14ac:dyDescent="0.25">
      <c r="B17" s="190" t="s">
        <v>39</v>
      </c>
      <c r="C17" s="191"/>
      <c r="D17" s="192"/>
      <c r="E17" s="34" t="str">
        <f>Mobilitätsangaben!D16</f>
        <v xml:space="preserve"> </v>
      </c>
      <c r="F17" s="34" t="str">
        <f>Mobilitätsangaben!D17</f>
        <v xml:space="preserve"> </v>
      </c>
      <c r="G17" s="153" t="str">
        <f>Mobilitätsangaben!D18</f>
        <v xml:space="preserve"> </v>
      </c>
      <c r="H17" s="34">
        <f>Mobilitätsangaben!H16</f>
        <v>0</v>
      </c>
      <c r="I17" s="34">
        <f>Mobilitätsangaben!H17</f>
        <v>0</v>
      </c>
      <c r="J17" s="153">
        <f>Mobilitätsangaben!H18</f>
        <v>0</v>
      </c>
    </row>
    <row r="18" spans="2:10" ht="28.9" customHeight="1" x14ac:dyDescent="0.25">
      <c r="B18" s="196" t="s">
        <v>40</v>
      </c>
      <c r="C18" s="197"/>
      <c r="D18" s="198"/>
      <c r="E18" s="34" t="str">
        <f>Mobilitätsangaben!D20</f>
        <v xml:space="preserve"> </v>
      </c>
      <c r="F18" s="34" t="str">
        <f>Mobilitätsangaben!D21</f>
        <v xml:space="preserve"> </v>
      </c>
      <c r="G18" s="153" t="str">
        <f>Mobilitätsangaben!D22</f>
        <v xml:space="preserve"> </v>
      </c>
      <c r="H18" s="34">
        <f>Mobilitätsangaben!H20</f>
        <v>0</v>
      </c>
      <c r="I18" s="34">
        <f>Mobilitätsangaben!H21</f>
        <v>0</v>
      </c>
      <c r="J18" s="153">
        <f>Mobilitätsangaben!H22</f>
        <v>0</v>
      </c>
    </row>
    <row r="19" spans="2:10" ht="3.75" customHeight="1" x14ac:dyDescent="0.25">
      <c r="B19" s="37"/>
      <c r="C19" s="37"/>
      <c r="D19" s="38"/>
      <c r="E19" s="38"/>
      <c r="G19" s="154"/>
      <c r="J19" s="157"/>
    </row>
    <row r="20" spans="2:10" ht="16.149999999999999" customHeight="1" x14ac:dyDescent="0.25">
      <c r="B20" s="199" t="s">
        <v>19</v>
      </c>
      <c r="C20" s="200"/>
      <c r="D20" s="201"/>
      <c r="E20" s="34" t="str">
        <f>'OS-Rechner'!G6</f>
        <v xml:space="preserve"> </v>
      </c>
      <c r="F20" s="20"/>
      <c r="G20" s="155" t="str">
        <f>'OS-Rechner'!G10</f>
        <v/>
      </c>
      <c r="H20" s="34" t="str">
        <f>IFERROR('OS-Rechner'!G30,"")</f>
        <v/>
      </c>
      <c r="J20" s="153">
        <f>'OS-Rechner'!G27</f>
        <v>0</v>
      </c>
    </row>
    <row r="21" spans="2:10" ht="3.75" customHeight="1" x14ac:dyDescent="0.25">
      <c r="B21" s="37"/>
      <c r="C21" s="37"/>
      <c r="D21" s="38"/>
      <c r="E21" s="38"/>
      <c r="G21" s="154"/>
      <c r="J21" s="157"/>
    </row>
    <row r="22" spans="2:10" ht="16.149999999999999" customHeight="1" x14ac:dyDescent="0.25">
      <c r="B22" s="202" t="s">
        <v>31</v>
      </c>
      <c r="C22" s="203"/>
      <c r="D22" s="204"/>
      <c r="E22" s="35">
        <f>SUM(E15:E18)</f>
        <v>0</v>
      </c>
      <c r="F22" s="20"/>
      <c r="G22" s="156" t="str">
        <f>IF(SUM(G15:G20)=0,"",SUM(G15:G20))</f>
        <v/>
      </c>
      <c r="H22" s="35">
        <f>SUM(H15:H18)</f>
        <v>0</v>
      </c>
      <c r="J22" s="156">
        <f>SUM(J15:J20)</f>
        <v>0</v>
      </c>
    </row>
    <row r="23" spans="2:10" x14ac:dyDescent="0.25">
      <c r="B23" s="37"/>
      <c r="C23" s="37"/>
      <c r="D23" s="38"/>
      <c r="E23" s="38"/>
    </row>
    <row r="24" spans="2:10" x14ac:dyDescent="0.25">
      <c r="B24" s="193" t="s">
        <v>417</v>
      </c>
      <c r="C24" s="193"/>
      <c r="D24" s="193"/>
      <c r="E24" s="193"/>
      <c r="F24" s="193"/>
      <c r="G24" s="193"/>
      <c r="H24" s="193"/>
      <c r="I24" s="193"/>
      <c r="J24" s="193"/>
    </row>
    <row r="25" spans="2:10" ht="8.25" customHeight="1" x14ac:dyDescent="0.25">
      <c r="B25" s="43"/>
      <c r="C25" s="43"/>
      <c r="D25" s="43"/>
      <c r="E25" s="43"/>
      <c r="F25" s="33"/>
      <c r="G25" s="33"/>
      <c r="H25" s="194" t="s">
        <v>751</v>
      </c>
      <c r="I25" s="194"/>
    </row>
    <row r="26" spans="2:10" ht="37.5" customHeight="1" x14ac:dyDescent="0.25">
      <c r="B26" s="43"/>
      <c r="C26" s="43"/>
      <c r="D26" s="43"/>
      <c r="E26" s="43"/>
      <c r="F26" s="33"/>
      <c r="G26" s="33"/>
      <c r="H26" s="195"/>
      <c r="I26" s="195"/>
    </row>
    <row r="27" spans="2:10" ht="33" customHeight="1" x14ac:dyDescent="0.25">
      <c r="B27" s="208" t="s">
        <v>37</v>
      </c>
      <c r="C27" s="208"/>
      <c r="D27" s="208"/>
      <c r="E27" s="212" t="str">
        <f>IF(OR(J27="",J27=0),"Keine Änderung zur ursprünglichen Finanzhilfevereinbarung",IF(J27&gt;0,"Antrag auf zusätzliche Mobilitätsmittel",IF(J27&lt;0,"Mittelrückmeldung","")))</f>
        <v>Keine Änderung zur ursprünglichen Finanzhilfevereinbarung</v>
      </c>
      <c r="F27" s="213"/>
      <c r="G27" s="214"/>
      <c r="H27" s="210"/>
      <c r="I27" s="211"/>
      <c r="J27" s="153" t="str">
        <f>Mobilitätsangaben!R6</f>
        <v/>
      </c>
    </row>
    <row r="28" spans="2:10" ht="33" customHeight="1" x14ac:dyDescent="0.25">
      <c r="B28" s="187" t="s">
        <v>38</v>
      </c>
      <c r="C28" s="188"/>
      <c r="D28" s="189"/>
      <c r="E28" s="212" t="str">
        <f>IF(OR(J28="",J28=0),"Keine Änderung zur ursprünglichen Finanzhilfevereinbarung",IF(J28&gt;0,"Antrag auf zusätzliche Mobilitätsmittel",IF(J28&lt;0,"Mittelrückmeldung","")))</f>
        <v>Keine Änderung zur ursprünglichen Finanzhilfevereinbarung</v>
      </c>
      <c r="F28" s="213"/>
      <c r="G28" s="214"/>
      <c r="H28" s="210"/>
      <c r="I28" s="211"/>
      <c r="J28" s="153" t="str">
        <f>Mobilitätsangaben!R10</f>
        <v/>
      </c>
    </row>
    <row r="29" spans="2:10" ht="33" customHeight="1" x14ac:dyDescent="0.25">
      <c r="B29" s="190" t="s">
        <v>39</v>
      </c>
      <c r="C29" s="191"/>
      <c r="D29" s="192"/>
      <c r="E29" s="212" t="str">
        <f t="shared" ref="E29" si="0">IF(OR(J29="",J29=0),"Keine Änderung zur ursprünglichen Finanzhilfevereinbarung",IF(J29&gt;0,"Antrag auf zusätzliche Mobilitätsmittel",IF(J29&lt;0,"Mittelrückmeldung","")))</f>
        <v>Keine Änderung zur ursprünglichen Finanzhilfevereinbarung</v>
      </c>
      <c r="F29" s="213"/>
      <c r="G29" s="214"/>
      <c r="H29" s="210"/>
      <c r="I29" s="211"/>
      <c r="J29" s="153" t="str">
        <f>Mobilitätsangaben!R18</f>
        <v/>
      </c>
    </row>
    <row r="30" spans="2:10" ht="33" customHeight="1" x14ac:dyDescent="0.25">
      <c r="B30" s="196" t="s">
        <v>40</v>
      </c>
      <c r="C30" s="197"/>
      <c r="D30" s="198"/>
      <c r="E30" s="212" t="str">
        <f>IF(OR(J30="",J30=0),"Keine Änderung zur ursprünglichen Finanzhilfevereinbarung",IF(J30&gt;0,"Antrag auf zusätzliche Mobilitätsmittel",IF(J30&lt;0,"Mittelrückmeldung","")))</f>
        <v>Keine Änderung zur ursprünglichen Finanzhilfevereinbarung</v>
      </c>
      <c r="F30" s="213"/>
      <c r="G30" s="214"/>
      <c r="H30" s="210"/>
      <c r="I30" s="211"/>
      <c r="J30" s="153" t="str">
        <f>Mobilitätsangaben!R22</f>
        <v/>
      </c>
    </row>
    <row r="31" spans="2:10" ht="33" customHeight="1" x14ac:dyDescent="0.25">
      <c r="B31" s="206" t="s">
        <v>19</v>
      </c>
      <c r="C31" s="207"/>
      <c r="D31" s="207"/>
      <c r="E31" s="209" t="str">
        <f>IFERROR(IF(H22&lt;=E22,"Keine Änderung zur ursprünglichen Finanzhilfevereinbarung","Antrag auf zusätzliche OS-Mittel"),"")</f>
        <v>Keine Änderung zur ursprünglichen Finanzhilfevereinbarung</v>
      </c>
      <c r="F31" s="209"/>
      <c r="G31" s="209"/>
      <c r="H31" s="209"/>
      <c r="I31" s="209"/>
      <c r="J31" s="168"/>
    </row>
    <row r="32" spans="2:10" ht="18.75" customHeight="1" x14ac:dyDescent="0.25">
      <c r="D32" s="20"/>
      <c r="E32" s="20"/>
      <c r="F32" s="20"/>
      <c r="G32" s="20"/>
      <c r="H32" s="20"/>
    </row>
    <row r="33" spans="2:10" ht="14.65" customHeight="1" x14ac:dyDescent="0.25">
      <c r="B33" s="205" t="s">
        <v>1146</v>
      </c>
      <c r="C33" s="205"/>
      <c r="D33" s="205"/>
      <c r="E33" s="205"/>
      <c r="F33" s="205"/>
      <c r="G33" s="205"/>
      <c r="H33" s="205"/>
      <c r="I33" s="205"/>
      <c r="J33" s="205"/>
    </row>
    <row r="34" spans="2:10" ht="14.65" customHeight="1" x14ac:dyDescent="0.25">
      <c r="B34" s="205"/>
      <c r="C34" s="205"/>
      <c r="D34" s="205"/>
      <c r="E34" s="205"/>
      <c r="F34" s="205"/>
      <c r="G34" s="205"/>
      <c r="H34" s="205"/>
      <c r="I34" s="205"/>
      <c r="J34" s="205"/>
    </row>
    <row r="35" spans="2:10" x14ac:dyDescent="0.25">
      <c r="B35" s="205"/>
      <c r="C35" s="205"/>
      <c r="D35" s="205"/>
      <c r="E35" s="205"/>
      <c r="F35" s="205"/>
      <c r="G35" s="205"/>
      <c r="H35" s="205"/>
      <c r="I35" s="205"/>
      <c r="J35" s="205"/>
    </row>
    <row r="36" spans="2:10" ht="20.25" customHeight="1" x14ac:dyDescent="0.25">
      <c r="D36" s="20"/>
      <c r="E36" s="20"/>
      <c r="F36" s="20"/>
      <c r="G36" s="20"/>
      <c r="H36" s="20"/>
    </row>
    <row r="37" spans="2:10" ht="19.149999999999999" customHeight="1" x14ac:dyDescent="0.25">
      <c r="D37" s="20"/>
      <c r="E37" s="20"/>
      <c r="F37" s="20"/>
      <c r="G37" s="20"/>
      <c r="H37" s="20"/>
    </row>
    <row r="38" spans="2:10" x14ac:dyDescent="0.25">
      <c r="B38" s="36"/>
      <c r="C38" s="36" t="s">
        <v>21</v>
      </c>
      <c r="D38" s="39"/>
      <c r="E38" s="36"/>
      <c r="F38" s="36"/>
      <c r="G38" s="36" t="s">
        <v>356</v>
      </c>
      <c r="H38" s="36"/>
      <c r="I38" s="36"/>
      <c r="J38" s="36"/>
    </row>
    <row r="39" spans="2:10" x14ac:dyDescent="0.25">
      <c r="D39" s="20"/>
      <c r="E39" s="20"/>
      <c r="F39" s="20"/>
      <c r="G39" s="20"/>
      <c r="H39" s="20"/>
    </row>
    <row r="40" spans="2:10" x14ac:dyDescent="0.25">
      <c r="D40" s="20"/>
      <c r="E40" s="20"/>
      <c r="F40" s="20"/>
      <c r="G40" s="20"/>
      <c r="H40" s="20"/>
    </row>
    <row r="41" spans="2:10" x14ac:dyDescent="0.25">
      <c r="D41" s="20"/>
      <c r="E41" s="20"/>
      <c r="F41" s="20"/>
      <c r="G41" s="20"/>
      <c r="H41" s="20"/>
    </row>
    <row r="42" spans="2:10" x14ac:dyDescent="0.25">
      <c r="D42" s="20"/>
      <c r="E42" s="20"/>
      <c r="F42" s="20"/>
      <c r="G42" s="20"/>
      <c r="H42" s="20"/>
    </row>
    <row r="43" spans="2:10" x14ac:dyDescent="0.25">
      <c r="D43" s="20"/>
      <c r="E43" s="20"/>
      <c r="F43" s="20"/>
      <c r="G43" s="20"/>
      <c r="H43" s="20"/>
    </row>
    <row r="44" spans="2:10" x14ac:dyDescent="0.25">
      <c r="D44" s="20"/>
      <c r="E44" s="20"/>
      <c r="F44" s="20"/>
      <c r="G44" s="20"/>
      <c r="H44" s="20"/>
    </row>
    <row r="45" spans="2:10" x14ac:dyDescent="0.25">
      <c r="D45" s="20"/>
      <c r="E45" s="20"/>
      <c r="F45" s="20"/>
      <c r="G45" s="20"/>
      <c r="H45" s="20"/>
    </row>
    <row r="46" spans="2:10" x14ac:dyDescent="0.25">
      <c r="D46" s="20"/>
      <c r="E46" s="20"/>
      <c r="F46" s="20"/>
      <c r="G46" s="20"/>
      <c r="H46" s="20"/>
    </row>
    <row r="47" spans="2:10" x14ac:dyDescent="0.25">
      <c r="D47" s="20"/>
      <c r="E47" s="20"/>
      <c r="F47" s="20"/>
      <c r="G47" s="20"/>
      <c r="H47" s="20"/>
    </row>
  </sheetData>
  <sheetProtection algorithmName="SHA-512" hashValue="BpvDNqS//YV9PDb1E2EQDPMYe+Q4wIwqXKod0gb3vn7x8xU8Yp3KoxZIUJfGFZnytBahVGTEFTMbo7q2abQGsA==" saltValue="QswmMZgEcCBMfctB+jAWtA==" spinCount="100000" sheet="1" objects="1" scenarios="1"/>
  <mergeCells count="35">
    <mergeCell ref="B33:J35"/>
    <mergeCell ref="B31:D31"/>
    <mergeCell ref="B27:D27"/>
    <mergeCell ref="B28:D28"/>
    <mergeCell ref="B29:D29"/>
    <mergeCell ref="B30:D30"/>
    <mergeCell ref="E31:I31"/>
    <mergeCell ref="H27:I27"/>
    <mergeCell ref="H28:I28"/>
    <mergeCell ref="H29:I29"/>
    <mergeCell ref="H30:I30"/>
    <mergeCell ref="E27:G27"/>
    <mergeCell ref="E28:G28"/>
    <mergeCell ref="E30:G30"/>
    <mergeCell ref="E29:G29"/>
    <mergeCell ref="B16:D16"/>
    <mergeCell ref="B17:D17"/>
    <mergeCell ref="B11:D11"/>
    <mergeCell ref="B24:J24"/>
    <mergeCell ref="H25:I26"/>
    <mergeCell ref="B18:D18"/>
    <mergeCell ref="B20:D20"/>
    <mergeCell ref="B22:D22"/>
    <mergeCell ref="B3:D3"/>
    <mergeCell ref="B5:D5"/>
    <mergeCell ref="B15:D15"/>
    <mergeCell ref="E13:G13"/>
    <mergeCell ref="E5:J5"/>
    <mergeCell ref="E3:J3"/>
    <mergeCell ref="H13:J13"/>
    <mergeCell ref="E9:J9"/>
    <mergeCell ref="E11:J11"/>
    <mergeCell ref="E7:J7"/>
    <mergeCell ref="B7:D7"/>
    <mergeCell ref="B9:D9"/>
  </mergeCells>
  <conditionalFormatting sqref="J27">
    <cfRule type="cellIs" dxfId="23" priority="28" operator="lessThan">
      <formula>0</formula>
    </cfRule>
  </conditionalFormatting>
  <conditionalFormatting sqref="J28:J30">
    <cfRule type="cellIs" dxfId="22" priority="27" operator="lessThan">
      <formula>-7740</formula>
    </cfRule>
  </conditionalFormatting>
  <conditionalFormatting sqref="J29">
    <cfRule type="cellIs" dxfId="21" priority="26" operator="lessThan">
      <formula>0</formula>
    </cfRule>
  </conditionalFormatting>
  <conditionalFormatting sqref="J28 J30">
    <cfRule type="cellIs" dxfId="20" priority="25" operator="lessThan">
      <formula>0</formula>
    </cfRule>
  </conditionalFormatting>
  <conditionalFormatting sqref="E27:G27">
    <cfRule type="containsText" dxfId="19" priority="16" operator="containsText" text="Antrag">
      <formula>NOT(ISERROR(SEARCH("Antrag",E27)))</formula>
    </cfRule>
    <cfRule type="containsText" dxfId="18" priority="17" operator="containsText" text="Antrag auf zusätzliche">
      <formula>NOT(ISERROR(SEARCH("Antrag auf zusätzliche",E27)))</formula>
    </cfRule>
    <cfRule type="containsText" dxfId="17" priority="23" operator="containsText" text="Mittelrückmeldung">
      <formula>NOT(ISERROR(SEARCH("Mittelrückmeldung",E27)))</formula>
    </cfRule>
  </conditionalFormatting>
  <conditionalFormatting sqref="E28:G28">
    <cfRule type="containsText" dxfId="16" priority="22" operator="containsText" text="Mittelrückmeldung">
      <formula>NOT(ISERROR(SEARCH("Mittelrückmeldung",E28)))</formula>
    </cfRule>
  </conditionalFormatting>
  <conditionalFormatting sqref="E29:G29">
    <cfRule type="containsText" dxfId="15" priority="21" operator="containsText" text="Mittelrückmeldung">
      <formula>NOT(ISERROR(SEARCH("Mittelrückmeldung",E29)))</formula>
    </cfRule>
  </conditionalFormatting>
  <conditionalFormatting sqref="E30:G30">
    <cfRule type="containsText" dxfId="14" priority="20" operator="containsText" text="Mittelrückmeldung">
      <formula>NOT(ISERROR(SEARCH("Mittelrückmeldung",E30)))</formula>
    </cfRule>
  </conditionalFormatting>
  <conditionalFormatting sqref="E28:G30">
    <cfRule type="containsText" dxfId="13" priority="15" operator="containsText" text="Mehrbedarf">
      <formula>NOT(ISERROR(SEARCH("Mehrbedarf",E28)))</formula>
    </cfRule>
  </conditionalFormatting>
  <conditionalFormatting sqref="E27:G30">
    <cfRule type="containsText" dxfId="12" priority="13" operator="containsText" text="Antrag auf">
      <formula>NOT(ISERROR(SEARCH("Antrag auf",E27)))</formula>
    </cfRule>
    <cfRule type="containsText" dxfId="11" priority="14" operator="containsText" text="Mehrbedarf">
      <formula>NOT(ISERROR(SEARCH("Mehrbedarf",E27)))</formula>
    </cfRule>
  </conditionalFormatting>
  <conditionalFormatting sqref="E31">
    <cfRule type="containsText" dxfId="10" priority="4" operator="containsText" text="Antrag">
      <formula>NOT(ISERROR(SEARCH("Antrag",E31)))</formula>
    </cfRule>
    <cfRule type="containsText" dxfId="9" priority="5" operator="containsText" text="Antrag auf zusätzliche">
      <formula>NOT(ISERROR(SEARCH("Antrag auf zusätzliche",E31)))</formula>
    </cfRule>
    <cfRule type="containsText" dxfId="8" priority="6" operator="containsText" text="Mittelrückmeldung">
      <formula>NOT(ISERROR(SEARCH("Mittelrückmeldung",E31)))</formula>
    </cfRule>
  </conditionalFormatting>
  <conditionalFormatting sqref="E31">
    <cfRule type="containsText" dxfId="7" priority="2" operator="containsText" text="Antrag auf">
      <formula>NOT(ISERROR(SEARCH("Antrag auf",E31)))</formula>
    </cfRule>
    <cfRule type="containsText" dxfId="6" priority="3" operator="containsText" text="Mehrbedarf">
      <formula>NOT(ISERROR(SEARCH("Mehrbedarf",E31)))</formula>
    </cfRule>
  </conditionalFormatting>
  <dataValidations count="3">
    <dataValidation type="list" errorStyle="warning" allowBlank="1" showInputMessage="1" showErrorMessage="1" errorTitle="Eingabehilfe" error="Bitte wählen Sie die entsprechende Vertragslaufzeit über den Pfeil rechts (Drop-down Menü)." sqref="E11:J11" xr:uid="{00000000-0002-0000-0000-000000000000}">
      <formula1>"24 Monate,16 Monate,Ich beantrage eine Verlängerung der Vertragslaufzeit von 16 auf 24 Monate."</formula1>
    </dataValidation>
    <dataValidation type="list" showInputMessage="1" showErrorMessage="1" sqref="H28:I28 H29:I29 I30 H30" xr:uid="{E644A438-2531-4C2B-86CE-8AD62AE42E60}">
      <formula1>"- - -,Antrag bestätigen, Auf Antrag verzichten,"</formula1>
    </dataValidation>
    <dataValidation type="list" allowBlank="1" showInputMessage="1" showErrorMessage="1" sqref="J31 H27:I27" xr:uid="{86AE660C-39A3-48C4-8B29-0CCA97942826}">
      <formula1>"- - -,Antrag bestätigen, Auf Antrag verzichten,"</formula1>
    </dataValidation>
  </dataValidations>
  <pageMargins left="0.70866141732283472" right="0.70866141732283472" top="0.74803149606299213" bottom="0.74803149606299213" header="0.31496062992125984" footer="0.31496062992125984"/>
  <pageSetup paperSize="9" scale="75" orientation="portrait" r:id="rId1"/>
  <headerFooter>
    <oddHeader>&amp;L&amp;G &amp;C&amp;G</oddHeader>
    <oddFooter>&amp;L&amp;D</oddFooter>
  </headerFooter>
  <legacyDrawingHF r:id="rId2"/>
  <extLst>
    <ext xmlns:x14="http://schemas.microsoft.com/office/spreadsheetml/2009/9/main" uri="{78C0D931-6437-407d-A8EE-F0AAD7539E65}">
      <x14:conditionalFormattings>
        <x14:conditionalFormatting xmlns:xm="http://schemas.microsoft.com/office/excel/2006/main">
          <x14:cfRule type="containsText" priority="18" operator="containsText" id="{360639CA-343D-400A-8CBC-778CAB338D5B}">
            <xm:f>NOT(ISERROR(SEARCH($E$28,H28)))</xm:f>
            <xm:f>$E$28</xm:f>
            <x14:dxf>
              <font>
                <color rgb="FF9C0006"/>
              </font>
              <fill>
                <patternFill>
                  <bgColor rgb="FFFFC7CE"/>
                </patternFill>
              </fill>
            </x14:dxf>
          </x14:cfRule>
          <x14:cfRule type="containsText" priority="19" operator="containsText" id="{F5539E37-3131-4396-90E7-7AB25A93413F}">
            <xm:f>NOT(ISERROR(SEARCH($E$28,H28)))</xm:f>
            <xm:f>$E$28</xm:f>
            <x14:dxf>
              <font>
                <color rgb="FF9C0006"/>
              </font>
              <fill>
                <patternFill>
                  <bgColor theme="0" tint="-0.14996795556505021"/>
                </patternFill>
              </fill>
            </x14:dxf>
          </x14:cfRule>
          <xm:sqref>H28:I28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xr:uid="{00000000-0002-0000-0000-000003000000}">
          <x14:formula1>
            <xm:f>Referenzblatt!$A$2:$A$349</xm:f>
          </x14:formula1>
          <xm:sqref>E3:J3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4">
    <pageSetUpPr fitToPage="1"/>
  </sheetPr>
  <dimension ref="A1:BK459"/>
  <sheetViews>
    <sheetView view="pageBreakPreview" zoomScaleNormal="100" zoomScaleSheetLayoutView="100" workbookViewId="0">
      <selection activeCell="M43" sqref="M43"/>
    </sheetView>
  </sheetViews>
  <sheetFormatPr baseColWidth="10" defaultColWidth="16" defaultRowHeight="15" x14ac:dyDescent="0.25"/>
  <cols>
    <col min="1" max="1" width="1.28515625" style="59" customWidth="1"/>
    <col min="2" max="2" width="16.5703125" style="68" customWidth="1"/>
    <col min="3" max="3" width="20.140625" style="65" customWidth="1"/>
    <col min="4" max="4" width="16" style="69" customWidth="1"/>
    <col min="5" max="5" width="1.140625" style="61" customWidth="1"/>
    <col min="6" max="6" width="17" style="65" customWidth="1"/>
    <col min="7" max="7" width="16" style="65" customWidth="1"/>
    <col min="8" max="8" width="16" style="69" customWidth="1"/>
    <col min="9" max="9" width="1.140625" style="61" customWidth="1"/>
    <col min="10" max="15" width="13.28515625" style="65" customWidth="1"/>
    <col min="16" max="16" width="13.140625" style="65" customWidth="1"/>
    <col min="17" max="17" width="1.85546875" style="70" hidden="1" customWidth="1"/>
    <col min="18" max="18" width="16" style="71"/>
    <col min="19" max="19" width="16" style="72"/>
    <col min="20" max="63" width="16" style="59"/>
    <col min="64" max="16384" width="16" style="65"/>
  </cols>
  <sheetData>
    <row r="1" spans="1:21" s="59" customFormat="1" ht="6.75" customHeight="1" x14ac:dyDescent="0.25">
      <c r="A1" s="101"/>
      <c r="B1" s="110"/>
      <c r="C1" s="101"/>
      <c r="D1" s="111"/>
      <c r="E1" s="111"/>
      <c r="F1" s="101"/>
      <c r="G1" s="101"/>
      <c r="H1" s="111"/>
      <c r="I1" s="111"/>
      <c r="J1" s="101"/>
      <c r="K1" s="101"/>
      <c r="L1" s="101"/>
      <c r="M1" s="101"/>
      <c r="N1" s="101"/>
      <c r="O1" s="101"/>
      <c r="P1" s="101"/>
      <c r="Q1" s="112"/>
      <c r="R1" s="113"/>
      <c r="S1" s="114"/>
    </row>
    <row r="2" spans="1:21" ht="21" customHeight="1" x14ac:dyDescent="0.25">
      <c r="A2" s="101"/>
      <c r="B2" s="163" t="str">
        <f>IF(Übersicht!E3="","",Übersicht!E3)</f>
        <v>Bitte auswählen</v>
      </c>
      <c r="C2" s="223" t="str">
        <f>Übersicht!E5</f>
        <v/>
      </c>
      <c r="D2" s="224"/>
      <c r="E2" s="115"/>
      <c r="F2" s="116"/>
      <c r="G2" s="116"/>
      <c r="H2" s="73"/>
      <c r="I2" s="115"/>
      <c r="J2" s="101"/>
      <c r="K2" s="101"/>
      <c r="L2" s="101"/>
      <c r="M2" s="101"/>
      <c r="N2" s="101"/>
      <c r="O2" s="101"/>
      <c r="P2" s="101"/>
      <c r="Q2" s="99"/>
      <c r="R2" s="73"/>
      <c r="S2" s="73"/>
    </row>
    <row r="3" spans="1:21" ht="66.400000000000006" customHeight="1" x14ac:dyDescent="0.25">
      <c r="A3" s="101"/>
      <c r="B3" s="228" t="s">
        <v>361</v>
      </c>
      <c r="C3" s="229"/>
      <c r="D3" s="44" t="s">
        <v>424</v>
      </c>
      <c r="E3" s="117"/>
      <c r="F3" s="45" t="s">
        <v>1143</v>
      </c>
      <c r="G3" s="46" t="s">
        <v>1141</v>
      </c>
      <c r="H3" s="47" t="s">
        <v>1144</v>
      </c>
      <c r="I3" s="117"/>
      <c r="J3" s="226" t="s">
        <v>362</v>
      </c>
      <c r="K3" s="226"/>
      <c r="L3" s="226"/>
      <c r="M3" s="226"/>
      <c r="N3" s="226"/>
      <c r="O3" s="226"/>
      <c r="P3" s="226"/>
      <c r="Q3" s="118" t="s">
        <v>35</v>
      </c>
      <c r="R3" s="145" t="str">
        <f>IF(AND((R26)=0,R14=0),"Keine Änderung zur Finanzhilfe-vereinbarung",IF(AND((R26)&gt;0,R14&lt;0),"Rückzahlung für SM und Mehrantrag an die NA DAAD für ST",IF((R29&lt;0),"Rückzahlung an die NA DAAD","Antrag auf zusätzliche Mobilitätsmittel")))</f>
        <v>Antrag auf zusätzliche Mobilitätsmittel</v>
      </c>
      <c r="S3" s="146" t="s">
        <v>357</v>
      </c>
    </row>
    <row r="4" spans="1:21" ht="16.5" customHeight="1" x14ac:dyDescent="0.25">
      <c r="A4" s="101"/>
      <c r="B4" s="232" t="s">
        <v>29</v>
      </c>
      <c r="C4" s="22" t="s">
        <v>0</v>
      </c>
      <c r="D4" s="92" t="str">
        <f>IFERROR(VLOOKUP(B2,Referenzblatt!A:V,4,FALSE),"")</f>
        <v xml:space="preserve"> </v>
      </c>
      <c r="E4" s="115"/>
      <c r="F4" s="25"/>
      <c r="G4" s="31"/>
      <c r="H4" s="49">
        <f t="shared" ref="H4:H18" si="0">F4+G4</f>
        <v>0</v>
      </c>
      <c r="I4" s="115"/>
      <c r="J4" s="218" t="s">
        <v>6</v>
      </c>
      <c r="K4" s="217" t="s">
        <v>5</v>
      </c>
      <c r="L4" s="231" t="s">
        <v>7</v>
      </c>
      <c r="M4" s="231" t="s">
        <v>8</v>
      </c>
      <c r="N4" s="216" t="s">
        <v>3</v>
      </c>
      <c r="O4" s="216" t="s">
        <v>2</v>
      </c>
      <c r="P4" s="227" t="s">
        <v>23</v>
      </c>
      <c r="Q4" s="119"/>
      <c r="R4" s="49" t="str">
        <f>IFERROR(H4-D4,"")</f>
        <v/>
      </c>
      <c r="S4" s="49" t="str">
        <f>IFERROR(IF(OR($R$28&lt;&gt;0,$R$29&lt;&gt;0),Q4+R4,""),"")</f>
        <v/>
      </c>
    </row>
    <row r="5" spans="1:21" ht="16.5" customHeight="1" x14ac:dyDescent="0.25">
      <c r="A5" s="101"/>
      <c r="B5" s="232"/>
      <c r="C5" s="22" t="s">
        <v>33</v>
      </c>
      <c r="D5" s="49" t="str">
        <f>IFERROR(VLOOKUP(B2,Referenzblatt!A:V,5,FALSE),"")</f>
        <v xml:space="preserve"> </v>
      </c>
      <c r="E5" s="115"/>
      <c r="F5" s="25"/>
      <c r="G5" s="25"/>
      <c r="H5" s="49">
        <f t="shared" si="0"/>
        <v>0</v>
      </c>
      <c r="I5" s="115"/>
      <c r="J5" s="218"/>
      <c r="K5" s="217"/>
      <c r="L5" s="231"/>
      <c r="M5" s="231"/>
      <c r="N5" s="216"/>
      <c r="O5" s="216"/>
      <c r="P5" s="227"/>
      <c r="Q5" s="120"/>
      <c r="R5" s="49" t="str">
        <f>IFERROR(H5-D5,"")</f>
        <v/>
      </c>
      <c r="S5" s="49" t="str">
        <f>IFERROR(IF(OR($R$28&lt;&gt;0,$R$29&lt;&gt;0),Q5+R5,""),"")</f>
        <v/>
      </c>
    </row>
    <row r="6" spans="1:21" ht="16.5" customHeight="1" x14ac:dyDescent="0.25">
      <c r="A6" s="101"/>
      <c r="B6" s="232"/>
      <c r="C6" s="22" t="s">
        <v>355</v>
      </c>
      <c r="D6" s="147" t="str">
        <f>IFERROR(VLOOKUP(B2,Referenzblatt!A:V,6,FALSE),"")</f>
        <v xml:space="preserve"> </v>
      </c>
      <c r="E6" s="148"/>
      <c r="F6" s="149"/>
      <c r="G6" s="149"/>
      <c r="H6" s="147">
        <f>F6+G6</f>
        <v>0</v>
      </c>
      <c r="I6" s="148">
        <v>2000</v>
      </c>
      <c r="J6" s="150">
        <f>J10*(1)</f>
        <v>0</v>
      </c>
      <c r="K6" s="149">
        <v>0</v>
      </c>
      <c r="L6" s="150">
        <f>(L18)*(1)</f>
        <v>0</v>
      </c>
      <c r="M6" s="150">
        <f>(L22)*(1)</f>
        <v>0</v>
      </c>
      <c r="N6" s="149">
        <v>0</v>
      </c>
      <c r="O6" s="149">
        <v>0</v>
      </c>
      <c r="P6" s="147">
        <f>J6+(-1*K6)+L6+M6+(-1*N6)+(-1*O6)</f>
        <v>0</v>
      </c>
      <c r="Q6" s="151" t="e">
        <f>SUM(D6+P6)</f>
        <v>#VALUE!</v>
      </c>
      <c r="R6" s="147" t="str">
        <f>IFERROR(H6-Q6,"")</f>
        <v/>
      </c>
      <c r="S6" s="152" t="str">
        <f>IFERROR(Q6+R6,"")</f>
        <v/>
      </c>
      <c r="T6" s="162"/>
      <c r="U6" s="161"/>
    </row>
    <row r="7" spans="1:21" s="59" customFormat="1" ht="3" customHeight="1" x14ac:dyDescent="0.25">
      <c r="A7" s="101"/>
      <c r="B7" s="121"/>
      <c r="C7" s="122"/>
      <c r="D7" s="95"/>
      <c r="E7" s="95"/>
      <c r="F7" s="123"/>
      <c r="G7" s="123"/>
      <c r="H7" s="95"/>
      <c r="I7" s="95"/>
      <c r="J7" s="124"/>
      <c r="K7" s="125"/>
      <c r="L7" s="124"/>
      <c r="M7" s="124"/>
      <c r="N7" s="124"/>
      <c r="O7" s="124"/>
      <c r="P7" s="124"/>
      <c r="Q7" s="126"/>
      <c r="R7" s="97"/>
      <c r="S7" s="127"/>
    </row>
    <row r="8" spans="1:21" ht="16.5" customHeight="1" x14ac:dyDescent="0.25">
      <c r="A8" s="101"/>
      <c r="B8" s="230" t="s">
        <v>30</v>
      </c>
      <c r="C8" s="22" t="s">
        <v>0</v>
      </c>
      <c r="D8" s="49" t="str">
        <f>IFERROR(VLOOKUP(B2,Referenzblatt!A:V,7,FALSE),"")</f>
        <v xml:space="preserve"> </v>
      </c>
      <c r="E8" s="115"/>
      <c r="F8" s="25"/>
      <c r="G8" s="32"/>
      <c r="H8" s="49">
        <f t="shared" si="0"/>
        <v>0</v>
      </c>
      <c r="I8" s="115"/>
      <c r="J8" s="217" t="s">
        <v>22</v>
      </c>
      <c r="K8" s="218" t="s">
        <v>4</v>
      </c>
      <c r="L8" s="218" t="s">
        <v>7</v>
      </c>
      <c r="M8" s="218" t="s">
        <v>8</v>
      </c>
      <c r="N8" s="217" t="s">
        <v>3</v>
      </c>
      <c r="O8" s="217" t="s">
        <v>2</v>
      </c>
      <c r="P8" s="227" t="s">
        <v>24</v>
      </c>
      <c r="Q8" s="120"/>
      <c r="R8" s="49" t="str">
        <f>IFERROR(H8-D8,"")</f>
        <v/>
      </c>
      <c r="S8" s="26" t="str">
        <f>IFERROR(IF(OR($R$28&lt;&gt;0,$R$29&lt;&gt;0), Q8+R8,""),"")</f>
        <v/>
      </c>
    </row>
    <row r="9" spans="1:21" ht="16.5" customHeight="1" x14ac:dyDescent="0.25">
      <c r="A9" s="101"/>
      <c r="B9" s="230"/>
      <c r="C9" s="22" t="s">
        <v>33</v>
      </c>
      <c r="D9" s="49" t="str">
        <f>IFERROR(VLOOKUP(B2,Referenzblatt!A:V,8,FALSE),"")</f>
        <v xml:space="preserve"> </v>
      </c>
      <c r="E9" s="115"/>
      <c r="F9" s="25"/>
      <c r="G9" s="25"/>
      <c r="H9" s="49">
        <f t="shared" si="0"/>
        <v>0</v>
      </c>
      <c r="I9" s="115"/>
      <c r="J9" s="217"/>
      <c r="K9" s="218"/>
      <c r="L9" s="218"/>
      <c r="M9" s="218"/>
      <c r="N9" s="217"/>
      <c r="O9" s="217"/>
      <c r="P9" s="227"/>
      <c r="Q9" s="120"/>
      <c r="R9" s="49" t="str">
        <f>IFERROR(H9-D9,"")</f>
        <v/>
      </c>
      <c r="S9" s="26" t="str">
        <f>IFERROR(IF(OR($R$28&lt;&gt;0,$R$29&lt;&gt;0), Q9+R9,""),"")</f>
        <v/>
      </c>
    </row>
    <row r="10" spans="1:21" ht="16.5" customHeight="1" x14ac:dyDescent="0.25">
      <c r="A10" s="101"/>
      <c r="B10" s="230"/>
      <c r="C10" s="22" t="s">
        <v>355</v>
      </c>
      <c r="D10" s="147" t="str">
        <f>IFERROR(VLOOKUP(B2,Referenzblatt!A:V,9,FALSE),"")</f>
        <v xml:space="preserve"> </v>
      </c>
      <c r="E10" s="148"/>
      <c r="F10" s="149"/>
      <c r="G10" s="149"/>
      <c r="H10" s="147">
        <f>F10+G10</f>
        <v>0</v>
      </c>
      <c r="I10" s="148"/>
      <c r="J10" s="149">
        <v>0</v>
      </c>
      <c r="K10" s="150">
        <f>K6*(1)</f>
        <v>0</v>
      </c>
      <c r="L10" s="150">
        <f>(M18)*(1)</f>
        <v>0</v>
      </c>
      <c r="M10" s="150">
        <f>(M22)*(1)</f>
        <v>0</v>
      </c>
      <c r="N10" s="149">
        <v>0</v>
      </c>
      <c r="O10" s="149">
        <v>0</v>
      </c>
      <c r="P10" s="147">
        <f>(J10*-1)+K10+L10+M10+(N10*-1)+(O10*-1)</f>
        <v>0</v>
      </c>
      <c r="Q10" s="151" t="e">
        <f>SUM(D10+P10)</f>
        <v>#VALUE!</v>
      </c>
      <c r="R10" s="147" t="str">
        <f>IFERROR(H10-Q10,"")</f>
        <v/>
      </c>
      <c r="S10" s="152" t="str">
        <f>IFERROR(Q10+R10,"")</f>
        <v/>
      </c>
    </row>
    <row r="11" spans="1:21" s="59" customFormat="1" ht="3" customHeight="1" x14ac:dyDescent="0.25">
      <c r="A11" s="101"/>
      <c r="B11" s="121"/>
      <c r="C11" s="122"/>
      <c r="D11" s="95"/>
      <c r="E11" s="95"/>
      <c r="F11" s="123"/>
      <c r="G11" s="123"/>
      <c r="H11" s="95"/>
      <c r="I11" s="95"/>
      <c r="J11" s="124"/>
      <c r="K11" s="125"/>
      <c r="L11" s="124"/>
      <c r="M11" s="124"/>
      <c r="N11" s="124"/>
      <c r="O11" s="124"/>
      <c r="P11" s="124"/>
      <c r="Q11" s="126"/>
      <c r="R11" s="97"/>
      <c r="S11" s="127"/>
    </row>
    <row r="12" spans="1:21" ht="16.5" customHeight="1" x14ac:dyDescent="0.25">
      <c r="A12" s="101"/>
      <c r="B12" s="255" t="s">
        <v>363</v>
      </c>
      <c r="C12" s="22" t="s">
        <v>0</v>
      </c>
      <c r="D12" s="49" t="str">
        <f>IFERROR(D4+D8,"")</f>
        <v/>
      </c>
      <c r="E12" s="128"/>
      <c r="F12" s="49">
        <f t="shared" ref="F12:G14" si="1">F4+F8</f>
        <v>0</v>
      </c>
      <c r="G12" s="49">
        <f t="shared" si="1"/>
        <v>0</v>
      </c>
      <c r="H12" s="49">
        <f t="shared" si="0"/>
        <v>0</v>
      </c>
      <c r="I12" s="128"/>
      <c r="J12" s="231" t="s">
        <v>7</v>
      </c>
      <c r="K12" s="231"/>
      <c r="L12" s="231"/>
      <c r="M12" s="218" t="s">
        <v>8</v>
      </c>
      <c r="N12" s="218" t="s">
        <v>3</v>
      </c>
      <c r="O12" s="218" t="s">
        <v>2</v>
      </c>
      <c r="P12" s="220" t="s">
        <v>25</v>
      </c>
      <c r="Q12" s="120"/>
      <c r="R12" s="49" t="str">
        <f>IFERROR(H12-D12,"")</f>
        <v/>
      </c>
      <c r="S12" s="53" t="str">
        <f>IFERROR(IF(OR($R$28&lt;&gt;0,$R$29&lt;&gt;0), Q12+R12,""),"")</f>
        <v/>
      </c>
    </row>
    <row r="13" spans="1:21" ht="16.5" customHeight="1" x14ac:dyDescent="0.25">
      <c r="A13" s="101"/>
      <c r="B13" s="255"/>
      <c r="C13" s="22" t="s">
        <v>33</v>
      </c>
      <c r="D13" s="49" t="str">
        <f>IFERROR(D5+D9,"")</f>
        <v/>
      </c>
      <c r="E13" s="128"/>
      <c r="F13" s="49">
        <f t="shared" si="1"/>
        <v>0</v>
      </c>
      <c r="G13" s="49">
        <f t="shared" si="1"/>
        <v>0</v>
      </c>
      <c r="H13" s="49">
        <f t="shared" si="0"/>
        <v>0</v>
      </c>
      <c r="I13" s="128"/>
      <c r="J13" s="231"/>
      <c r="K13" s="231"/>
      <c r="L13" s="231"/>
      <c r="M13" s="218"/>
      <c r="N13" s="218"/>
      <c r="O13" s="218"/>
      <c r="P13" s="221"/>
      <c r="Q13" s="120"/>
      <c r="R13" s="49" t="str">
        <f>IFERROR(H13-D13,"")</f>
        <v/>
      </c>
      <c r="S13" s="53" t="str">
        <f>IFERROR(IF(OR($R$28&lt;&gt;0,$R$29&lt;&gt;0), Q13+R13,""),"")</f>
        <v/>
      </c>
    </row>
    <row r="14" spans="1:21" ht="16.5" customHeight="1" x14ac:dyDescent="0.25">
      <c r="A14" s="101"/>
      <c r="B14" s="255"/>
      <c r="C14" s="22" t="s">
        <v>355</v>
      </c>
      <c r="D14" s="147" t="str">
        <f>IFERROR(D6+D10,"")</f>
        <v/>
      </c>
      <c r="E14" s="148"/>
      <c r="F14" s="150">
        <f t="shared" si="1"/>
        <v>0</v>
      </c>
      <c r="G14" s="150">
        <f t="shared" si="1"/>
        <v>0</v>
      </c>
      <c r="H14" s="147">
        <f>F14+G14</f>
        <v>0</v>
      </c>
      <c r="I14" s="148"/>
      <c r="J14" s="225">
        <f>L6+L10</f>
        <v>0</v>
      </c>
      <c r="K14" s="225"/>
      <c r="L14" s="225"/>
      <c r="M14" s="150">
        <f>M6+M10</f>
        <v>0</v>
      </c>
      <c r="N14" s="150">
        <f>(N6+N10)</f>
        <v>0</v>
      </c>
      <c r="O14" s="150">
        <f>(O6+O10)</f>
        <v>0</v>
      </c>
      <c r="P14" s="147">
        <f>J14+M14+(N14*-1)+(O14*-1)</f>
        <v>0</v>
      </c>
      <c r="Q14" s="151" t="e">
        <f>SUM(D14+P14)</f>
        <v>#VALUE!</v>
      </c>
      <c r="R14" s="147" t="str">
        <f>IFERROR(R6+R10,"")</f>
        <v/>
      </c>
      <c r="S14" s="152" t="str">
        <f>IFERROR(Q14+R14,"")</f>
        <v/>
      </c>
    </row>
    <row r="15" spans="1:21" s="59" customFormat="1" ht="4.9000000000000004" customHeight="1" x14ac:dyDescent="0.25">
      <c r="A15" s="101"/>
      <c r="B15" s="121"/>
      <c r="C15" s="122"/>
      <c r="D15" s="95"/>
      <c r="E15" s="95"/>
      <c r="F15" s="123"/>
      <c r="G15" s="123"/>
      <c r="H15" s="95"/>
      <c r="I15" s="95"/>
      <c r="J15" s="124"/>
      <c r="K15" s="125"/>
      <c r="L15" s="124"/>
      <c r="M15" s="124"/>
      <c r="N15" s="124"/>
      <c r="O15" s="124"/>
      <c r="P15" s="124"/>
      <c r="Q15" s="126"/>
      <c r="R15" s="97"/>
      <c r="S15" s="127"/>
    </row>
    <row r="16" spans="1:21" ht="16.5" customHeight="1" x14ac:dyDescent="0.25">
      <c r="A16" s="101"/>
      <c r="B16" s="254" t="s">
        <v>752</v>
      </c>
      <c r="C16" s="22" t="s">
        <v>0</v>
      </c>
      <c r="D16" s="49" t="str">
        <f>IFERROR(VLOOKUP(B2,Referenzblatt!A:V,10,FALSE),"")</f>
        <v xml:space="preserve"> </v>
      </c>
      <c r="E16" s="115"/>
      <c r="F16" s="25"/>
      <c r="G16" s="25"/>
      <c r="H16" s="49">
        <f t="shared" si="0"/>
        <v>0</v>
      </c>
      <c r="I16" s="115"/>
      <c r="J16" s="218" t="s">
        <v>8</v>
      </c>
      <c r="K16" s="217" t="s">
        <v>2</v>
      </c>
      <c r="L16" s="217" t="s">
        <v>22</v>
      </c>
      <c r="M16" s="217" t="s">
        <v>5</v>
      </c>
      <c r="N16" s="218" t="s">
        <v>4</v>
      </c>
      <c r="O16" s="218" t="s">
        <v>6</v>
      </c>
      <c r="P16" s="222" t="s">
        <v>26</v>
      </c>
      <c r="Q16" s="120"/>
      <c r="R16" s="49" t="str">
        <f>IFERROR(H16-D16,"")</f>
        <v/>
      </c>
      <c r="S16" s="53" t="str">
        <f>IFERROR(IF(OR($R$28&lt;&gt;0,$R$29&lt;&gt;0), Q16+R16,""),"")</f>
        <v/>
      </c>
    </row>
    <row r="17" spans="1:63" ht="16.5" customHeight="1" x14ac:dyDescent="0.25">
      <c r="A17" s="101"/>
      <c r="B17" s="254"/>
      <c r="C17" s="22" t="s">
        <v>42</v>
      </c>
      <c r="D17" s="49" t="str">
        <f>IFERROR(VLOOKUP(B2,Referenzblatt!A:V,11,FALSE),"")</f>
        <v xml:space="preserve"> </v>
      </c>
      <c r="E17" s="115"/>
      <c r="F17" s="25"/>
      <c r="G17" s="25"/>
      <c r="H17" s="49">
        <f t="shared" si="0"/>
        <v>0</v>
      </c>
      <c r="I17" s="115"/>
      <c r="J17" s="218"/>
      <c r="K17" s="217"/>
      <c r="L17" s="217"/>
      <c r="M17" s="217"/>
      <c r="N17" s="218"/>
      <c r="O17" s="218"/>
      <c r="P17" s="222"/>
      <c r="Q17" s="120"/>
      <c r="R17" s="49" t="str">
        <f>IFERROR(H17-D17,"")</f>
        <v/>
      </c>
      <c r="S17" s="53" t="str">
        <f>IFERROR(IF(OR($R$28&lt;&gt;0,$R$29&lt;&gt;0), Q17+R17,""),"")</f>
        <v/>
      </c>
    </row>
    <row r="18" spans="1:63" ht="21" customHeight="1" x14ac:dyDescent="0.25">
      <c r="A18" s="101"/>
      <c r="B18" s="254"/>
      <c r="C18" s="23" t="s">
        <v>364</v>
      </c>
      <c r="D18" s="147" t="str">
        <f>IFERROR(VLOOKUP(B2,Referenzblatt!A:V,12,FALSE),"")</f>
        <v xml:space="preserve"> </v>
      </c>
      <c r="E18" s="148"/>
      <c r="F18" s="149"/>
      <c r="G18" s="149"/>
      <c r="H18" s="147">
        <f t="shared" si="0"/>
        <v>0</v>
      </c>
      <c r="I18" s="148"/>
      <c r="J18" s="150">
        <f>J22*1</f>
        <v>0</v>
      </c>
      <c r="K18" s="149">
        <v>0</v>
      </c>
      <c r="L18" s="149">
        <v>0</v>
      </c>
      <c r="M18" s="149">
        <v>0</v>
      </c>
      <c r="N18" s="150">
        <f>N6*1</f>
        <v>0</v>
      </c>
      <c r="O18" s="150">
        <f>N10*1</f>
        <v>0</v>
      </c>
      <c r="P18" s="147">
        <f>J18+(K18*-1)+(L18*-1)+(M18*-1)+N18+O18</f>
        <v>0</v>
      </c>
      <c r="Q18" s="151" t="e">
        <f>SUM(D18+P18)</f>
        <v>#VALUE!</v>
      </c>
      <c r="R18" s="147" t="str">
        <f>IFERROR(H18-Q18,"")</f>
        <v/>
      </c>
      <c r="S18" s="147" t="str">
        <f>IFERROR(IF(OR($R$28&lt;&gt;0,$R$29&lt;&gt;0), Q18+R18,""),"")</f>
        <v/>
      </c>
    </row>
    <row r="19" spans="1:63" s="59" customFormat="1" ht="3" customHeight="1" x14ac:dyDescent="0.25">
      <c r="A19" s="101"/>
      <c r="B19" s="121"/>
      <c r="C19" s="122"/>
      <c r="D19" s="95"/>
      <c r="E19" s="95"/>
      <c r="F19" s="123"/>
      <c r="G19" s="123"/>
      <c r="H19" s="95"/>
      <c r="I19" s="95"/>
      <c r="J19" s="124"/>
      <c r="K19" s="125"/>
      <c r="L19" s="124"/>
      <c r="M19" s="124"/>
      <c r="N19" s="124"/>
      <c r="O19" s="124"/>
      <c r="P19" s="124"/>
      <c r="Q19" s="126"/>
      <c r="R19" s="97"/>
      <c r="S19" s="127"/>
    </row>
    <row r="20" spans="1:63" ht="16.5" customHeight="1" x14ac:dyDescent="0.25">
      <c r="A20" s="101"/>
      <c r="B20" s="253" t="s">
        <v>753</v>
      </c>
      <c r="C20" s="22" t="s">
        <v>0</v>
      </c>
      <c r="D20" s="49" t="str">
        <f>IFERROR(VLOOKUP(B2,Referenzblatt!A:V,13,FALSE),"")</f>
        <v xml:space="preserve"> </v>
      </c>
      <c r="E20" s="115"/>
      <c r="F20" s="25"/>
      <c r="G20" s="25"/>
      <c r="H20" s="49">
        <f t="shared" ref="H20:H26" si="2">F20+G20</f>
        <v>0</v>
      </c>
      <c r="I20" s="115"/>
      <c r="J20" s="217" t="s">
        <v>3</v>
      </c>
      <c r="K20" s="217" t="s">
        <v>7</v>
      </c>
      <c r="L20" s="217" t="s">
        <v>1140</v>
      </c>
      <c r="M20" s="217" t="s">
        <v>5</v>
      </c>
      <c r="N20" s="218" t="s">
        <v>4</v>
      </c>
      <c r="O20" s="218" t="s">
        <v>6</v>
      </c>
      <c r="P20" s="222" t="s">
        <v>27</v>
      </c>
      <c r="Q20" s="120"/>
      <c r="R20" s="49" t="str">
        <f>IFERROR(H20-D20,"")</f>
        <v/>
      </c>
      <c r="S20" s="53" t="str">
        <f>IFERROR(IF(OR($R$28&lt;&gt;0,$R$29&lt;&gt;0), Q20+R20,""),"")</f>
        <v/>
      </c>
    </row>
    <row r="21" spans="1:63" ht="16.5" customHeight="1" x14ac:dyDescent="0.25">
      <c r="A21" s="101"/>
      <c r="B21" s="253"/>
      <c r="C21" s="22" t="s">
        <v>42</v>
      </c>
      <c r="D21" s="49" t="str">
        <f>IFERROR(VLOOKUP(B2,Referenzblatt!A:V,14,FALSE),"")</f>
        <v xml:space="preserve"> </v>
      </c>
      <c r="E21" s="115"/>
      <c r="F21" s="25"/>
      <c r="G21" s="25"/>
      <c r="H21" s="49">
        <f t="shared" si="2"/>
        <v>0</v>
      </c>
      <c r="I21" s="115"/>
      <c r="J21" s="217"/>
      <c r="K21" s="217"/>
      <c r="L21" s="217"/>
      <c r="M21" s="217"/>
      <c r="N21" s="218"/>
      <c r="O21" s="218"/>
      <c r="P21" s="222"/>
      <c r="Q21" s="120"/>
      <c r="R21" s="49" t="str">
        <f>IFERROR(H21-D21,"")</f>
        <v/>
      </c>
      <c r="S21" s="53" t="str">
        <f>IFERROR(IF(OR($R$28&lt;&gt;0,$R$29&lt;&gt;0), Q21+R21,""),"")</f>
        <v/>
      </c>
    </row>
    <row r="22" spans="1:63" ht="22.5" customHeight="1" x14ac:dyDescent="0.25">
      <c r="A22" s="101"/>
      <c r="B22" s="253"/>
      <c r="C22" s="23" t="s">
        <v>364</v>
      </c>
      <c r="D22" s="147" t="str">
        <f>IFERROR(VLOOKUP(B2,Referenzblatt!A:V,15,FALSE),"")</f>
        <v xml:space="preserve"> </v>
      </c>
      <c r="E22" s="148"/>
      <c r="F22" s="149"/>
      <c r="G22" s="149"/>
      <c r="H22" s="147">
        <f t="shared" si="2"/>
        <v>0</v>
      </c>
      <c r="I22" s="148"/>
      <c r="J22" s="149">
        <v>0</v>
      </c>
      <c r="K22" s="150">
        <f>K18*1</f>
        <v>0</v>
      </c>
      <c r="L22" s="149">
        <v>0</v>
      </c>
      <c r="M22" s="149">
        <v>0</v>
      </c>
      <c r="N22" s="150">
        <f>O6*1</f>
        <v>0</v>
      </c>
      <c r="O22" s="150">
        <f>O10*1</f>
        <v>0</v>
      </c>
      <c r="P22" s="147">
        <f>(J22*-1)+K22+(L22*-1)+(M22*-1)+N22+O22</f>
        <v>0</v>
      </c>
      <c r="Q22" s="151" t="e">
        <f>SUM(D22+P22)</f>
        <v>#VALUE!</v>
      </c>
      <c r="R22" s="147" t="str">
        <f>IFERROR(H22-Q22,"")</f>
        <v/>
      </c>
      <c r="S22" s="147" t="str">
        <f>IFERROR(IF(OR($R$28&lt;&gt;0,$R$29&lt;&gt;0), Q22+R22,""),"")</f>
        <v/>
      </c>
    </row>
    <row r="23" spans="1:63" s="59" customFormat="1" ht="3" customHeight="1" x14ac:dyDescent="0.25">
      <c r="A23" s="101"/>
      <c r="B23" s="121"/>
      <c r="C23" s="122"/>
      <c r="D23" s="95"/>
      <c r="E23" s="95"/>
      <c r="F23" s="123"/>
      <c r="G23" s="123"/>
      <c r="H23" s="95"/>
      <c r="I23" s="95"/>
      <c r="J23" s="124"/>
      <c r="K23" s="125"/>
      <c r="L23" s="124"/>
      <c r="M23" s="124"/>
      <c r="N23" s="124"/>
      <c r="O23" s="124"/>
      <c r="P23" s="124"/>
      <c r="Q23" s="126"/>
      <c r="R23" s="97"/>
      <c r="S23" s="127"/>
    </row>
    <row r="24" spans="1:63" ht="16.5" customHeight="1" x14ac:dyDescent="0.25">
      <c r="A24" s="101"/>
      <c r="B24" s="256" t="s">
        <v>36</v>
      </c>
      <c r="C24" s="22" t="s">
        <v>0</v>
      </c>
      <c r="D24" s="51" t="str">
        <f>IFERROR(D16+D20,"")</f>
        <v/>
      </c>
      <c r="E24" s="115"/>
      <c r="F24" s="49">
        <f t="shared" ref="F24:G26" si="3">F16+F20</f>
        <v>0</v>
      </c>
      <c r="G24" s="49">
        <f t="shared" si="3"/>
        <v>0</v>
      </c>
      <c r="H24" s="49">
        <f t="shared" si="2"/>
        <v>0</v>
      </c>
      <c r="I24" s="115"/>
      <c r="J24" s="218" t="s">
        <v>4</v>
      </c>
      <c r="K24" s="218"/>
      <c r="L24" s="218"/>
      <c r="M24" s="218" t="s">
        <v>6</v>
      </c>
      <c r="N24" s="218" t="s">
        <v>22</v>
      </c>
      <c r="O24" s="218" t="s">
        <v>5</v>
      </c>
      <c r="P24" s="222" t="s">
        <v>28</v>
      </c>
      <c r="Q24" s="120"/>
      <c r="R24" s="49" t="str">
        <f>IFERROR(H24-D24,"")</f>
        <v/>
      </c>
      <c r="S24" s="53" t="str">
        <f>IFERROR(IF(OR($R$28&lt;&gt;0,$R$29&lt;&gt;0), Q24+R24,""),"")</f>
        <v/>
      </c>
    </row>
    <row r="25" spans="1:63" ht="16.5" customHeight="1" x14ac:dyDescent="0.25">
      <c r="A25" s="101"/>
      <c r="B25" s="256"/>
      <c r="C25" s="22" t="s">
        <v>42</v>
      </c>
      <c r="D25" s="51" t="str">
        <f>IFERROR(D17+D21,"")</f>
        <v/>
      </c>
      <c r="E25" s="115"/>
      <c r="F25" s="49">
        <f t="shared" si="3"/>
        <v>0</v>
      </c>
      <c r="G25" s="49">
        <f t="shared" si="3"/>
        <v>0</v>
      </c>
      <c r="H25" s="49">
        <f>F25+G25</f>
        <v>0</v>
      </c>
      <c r="I25" s="115"/>
      <c r="J25" s="218"/>
      <c r="K25" s="218"/>
      <c r="L25" s="218"/>
      <c r="M25" s="218"/>
      <c r="N25" s="218"/>
      <c r="O25" s="218"/>
      <c r="P25" s="222"/>
      <c r="Q25" s="120"/>
      <c r="R25" s="49" t="str">
        <f>IFERROR(H25-D25,"")</f>
        <v/>
      </c>
      <c r="S25" s="53" t="str">
        <f>IFERROR(IF(OR($R$28&lt;&gt;0,$R$29&lt;&gt;0), Q25+R25,""),"")</f>
        <v/>
      </c>
    </row>
    <row r="26" spans="1:63" ht="21" customHeight="1" x14ac:dyDescent="0.25">
      <c r="A26" s="101"/>
      <c r="B26" s="256"/>
      <c r="C26" s="23" t="s">
        <v>364</v>
      </c>
      <c r="D26" s="147" t="str">
        <f>IFERROR(D18+D22,"")</f>
        <v/>
      </c>
      <c r="E26" s="148"/>
      <c r="F26" s="147">
        <f t="shared" si="3"/>
        <v>0</v>
      </c>
      <c r="G26" s="147">
        <f t="shared" si="3"/>
        <v>0</v>
      </c>
      <c r="H26" s="147">
        <f t="shared" si="2"/>
        <v>0</v>
      </c>
      <c r="I26" s="148"/>
      <c r="J26" s="225">
        <f>N18+N22</f>
        <v>0</v>
      </c>
      <c r="K26" s="225"/>
      <c r="L26" s="225"/>
      <c r="M26" s="150">
        <f>O18+O22</f>
        <v>0</v>
      </c>
      <c r="N26" s="150">
        <f>(L18+L22)</f>
        <v>0</v>
      </c>
      <c r="O26" s="150">
        <f>(M18+M22)</f>
        <v>0</v>
      </c>
      <c r="P26" s="147">
        <f>J26+M26+(N26*-1)+(O26*-1)</f>
        <v>0</v>
      </c>
      <c r="Q26" s="151" t="e">
        <f>SUM(D26+P26)</f>
        <v>#VALUE!</v>
      </c>
      <c r="R26" s="147" t="str">
        <f>IFERROR(H26-Q26,"")</f>
        <v/>
      </c>
      <c r="S26" s="147" t="str">
        <f>IFERROR(IF(OR($R$28&lt;&gt;0,$R$29&lt;&gt;0), Q26+R26,""),"")</f>
        <v/>
      </c>
    </row>
    <row r="27" spans="1:63" s="59" customFormat="1" ht="4.9000000000000004" customHeight="1" x14ac:dyDescent="0.25">
      <c r="A27" s="101"/>
      <c r="B27" s="121"/>
      <c r="C27" s="122"/>
      <c r="D27" s="95"/>
      <c r="E27" s="95"/>
      <c r="F27" s="123"/>
      <c r="G27" s="123"/>
      <c r="H27" s="95"/>
      <c r="I27" s="95"/>
      <c r="J27" s="124"/>
      <c r="K27" s="125"/>
      <c r="L27" s="124"/>
      <c r="M27" s="124"/>
      <c r="N27" s="124"/>
      <c r="O27" s="124"/>
      <c r="P27" s="124"/>
      <c r="Q27" s="126"/>
      <c r="R27" s="97"/>
      <c r="S27" s="127"/>
    </row>
    <row r="28" spans="1:63" ht="16.5" customHeight="1" x14ac:dyDescent="0.25">
      <c r="A28" s="101"/>
      <c r="B28" s="252" t="s">
        <v>31</v>
      </c>
      <c r="C28" s="22" t="s">
        <v>0</v>
      </c>
      <c r="D28" s="52" t="str">
        <f>IFERROR(D12+D24,"")</f>
        <v/>
      </c>
      <c r="E28" s="128"/>
      <c r="F28" s="49">
        <f>F12+F24</f>
        <v>0</v>
      </c>
      <c r="G28" s="49">
        <f>G12+G24</f>
        <v>0</v>
      </c>
      <c r="H28" s="49">
        <f>F28+G28</f>
        <v>0</v>
      </c>
      <c r="I28" s="128"/>
      <c r="J28" s="98"/>
      <c r="K28" s="98"/>
      <c r="L28" s="98"/>
      <c r="M28" s="98"/>
      <c r="N28" s="98"/>
      <c r="O28" s="98"/>
      <c r="P28" s="98"/>
      <c r="Q28" s="129"/>
      <c r="R28" s="49" t="str">
        <f>IFERROR(H28-D28,"")</f>
        <v/>
      </c>
      <c r="S28" s="53" t="str">
        <f>IFERROR(IF(OR($R$28&lt;&gt;0,$R$29&lt;&gt;0), Q28+R28, ""),"")</f>
        <v/>
      </c>
    </row>
    <row r="29" spans="1:63" s="67" customFormat="1" ht="16.5" customHeight="1" x14ac:dyDescent="0.25">
      <c r="A29" s="130"/>
      <c r="B29" s="252"/>
      <c r="C29" s="48" t="s">
        <v>358</v>
      </c>
      <c r="D29" s="147" t="str">
        <f>IFERROR(D14+D26,"")</f>
        <v/>
      </c>
      <c r="E29" s="148"/>
      <c r="F29" s="147">
        <f>F14+F26</f>
        <v>0</v>
      </c>
      <c r="G29" s="147">
        <f>G14+G26</f>
        <v>0</v>
      </c>
      <c r="H29" s="147">
        <f>F29+G29</f>
        <v>0</v>
      </c>
      <c r="I29" s="97"/>
      <c r="J29" s="98"/>
      <c r="K29" s="98"/>
      <c r="L29" s="98"/>
      <c r="M29" s="98"/>
      <c r="N29" s="98"/>
      <c r="O29" s="98"/>
      <c r="P29" s="98"/>
      <c r="Q29" s="119" t="e">
        <f>Q26+Q14</f>
        <v>#VALUE!</v>
      </c>
      <c r="R29" s="147" t="str">
        <f>IFERROR(H29-Q29,"")</f>
        <v/>
      </c>
      <c r="S29" s="147" t="str">
        <f>IFERROR(IF(OR($R$28&lt;&gt;0,$R$29&lt;&gt;0),Q29+R29,""),"")</f>
        <v/>
      </c>
      <c r="T29" s="59"/>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row>
    <row r="30" spans="1:63" s="66" customFormat="1" ht="16.5" customHeight="1" x14ac:dyDescent="0.25">
      <c r="A30" s="130"/>
      <c r="B30" s="93"/>
      <c r="C30" s="94"/>
      <c r="D30" s="95"/>
      <c r="E30" s="97"/>
      <c r="F30" s="95"/>
      <c r="G30" s="95"/>
      <c r="H30" s="95"/>
      <c r="I30" s="97"/>
      <c r="J30" s="98"/>
      <c r="K30" s="98"/>
      <c r="L30" s="98"/>
      <c r="M30" s="98"/>
      <c r="N30" s="98"/>
      <c r="O30" s="98"/>
      <c r="P30" s="98"/>
      <c r="Q30" s="99"/>
      <c r="R30" s="96"/>
      <c r="S30" s="95"/>
      <c r="T30" s="59"/>
    </row>
    <row r="31" spans="1:63" s="59" customFormat="1" ht="15" customHeight="1" x14ac:dyDescent="0.25">
      <c r="A31" s="101"/>
      <c r="B31" s="233" t="s">
        <v>422</v>
      </c>
      <c r="C31" s="234"/>
      <c r="D31" s="234"/>
      <c r="E31" s="234"/>
      <c r="F31" s="234"/>
      <c r="G31" s="234"/>
      <c r="H31" s="234"/>
      <c r="I31" s="234"/>
      <c r="J31" s="234"/>
      <c r="K31" s="234"/>
      <c r="L31" s="234"/>
      <c r="M31" s="234"/>
      <c r="N31" s="234"/>
      <c r="O31" s="234"/>
      <c r="P31" s="234"/>
      <c r="Q31" s="234"/>
      <c r="R31" s="234"/>
      <c r="S31" s="234"/>
    </row>
    <row r="32" spans="1:63" x14ac:dyDescent="0.25">
      <c r="A32" s="101"/>
      <c r="B32" s="100" t="s">
        <v>416</v>
      </c>
      <c r="C32" s="249" t="s">
        <v>1142</v>
      </c>
      <c r="D32" s="250"/>
      <c r="E32" s="250"/>
      <c r="F32" s="250"/>
      <c r="G32" s="250"/>
      <c r="H32" s="250"/>
      <c r="I32" s="250"/>
      <c r="J32" s="250"/>
      <c r="K32" s="250"/>
      <c r="L32" s="251"/>
      <c r="M32" s="140"/>
      <c r="N32" s="140"/>
      <c r="O32" s="219" t="s">
        <v>401</v>
      </c>
      <c r="P32" s="219"/>
      <c r="Q32" s="219"/>
      <c r="R32" s="165"/>
      <c r="S32" s="59"/>
      <c r="BK32" s="65"/>
    </row>
    <row r="33" spans="1:63" x14ac:dyDescent="0.25">
      <c r="A33" s="101"/>
      <c r="B33" s="257" t="s">
        <v>418</v>
      </c>
      <c r="C33" s="235" t="str">
        <f>IF(OR(D33&lt;&gt;"",G33&lt;&gt;"",J33&lt;&gt;""),"Bitte korrigieren Sie Ihre Angaben für 'noch geplant (N.N.-Nennungen)'.","")</f>
        <v/>
      </c>
      <c r="D33" s="215" t="str">
        <f>IF(OR(G4&lt;6,F4*0.25&gt;=G4),"","Sie haben für SMS die Schwelle für N.N.-Nennnungen überschritten.")</f>
        <v/>
      </c>
      <c r="E33" s="215"/>
      <c r="F33" s="215"/>
      <c r="G33" s="237" t="str">
        <f>IFERROR(IF(OR(G5/G4&lt;3,G5/G4&gt;12),"Die errechnete durchschnittliche Mobilitätsdauer liegt bei "&amp;TEXT(G5/G4,0)&amp;" Monaten, muss aber zwischen 3 und 12 Monaten liegen.",""),"")</f>
        <v/>
      </c>
      <c r="H33" s="238"/>
      <c r="I33" s="239"/>
      <c r="J33" s="243" t="str">
        <f>IFERROR(IF(OR(G6/G5&lt;150,G6/G5&gt;500),"Ihre errechnete Monatsrate beträgt "&amp;TEXT(G6/G5,"0")&amp;" Euro; muss aber zwischen 330 und 450 Euro liegen.",""),"")</f>
        <v/>
      </c>
      <c r="K33" s="244"/>
      <c r="L33" s="245"/>
      <c r="M33" s="140"/>
      <c r="N33" s="140"/>
      <c r="O33" s="215" t="str">
        <f>IF(AND(R6&gt;0,R10&lt;0),"Bitte transferieren Sie "&amp;IF(R6&lt;(D10-H10),R6,(D10-H10))&amp;" Euro von SMP auf SMS.",IF(AND(R10&gt;0,R6&lt;0),"Bitte transferieren Sie "&amp;IF(R10&lt;(D6-H6),R10,(D6-H6))&amp;" Euro von SMS auf SMP.",""))</f>
        <v/>
      </c>
      <c r="P33" s="215"/>
      <c r="Q33" s="215"/>
      <c r="R33" s="166"/>
      <c r="S33" s="59"/>
      <c r="BK33" s="65"/>
    </row>
    <row r="34" spans="1:63" ht="20.100000000000001" customHeight="1" x14ac:dyDescent="0.25">
      <c r="A34" s="101"/>
      <c r="B34" s="258"/>
      <c r="C34" s="236"/>
      <c r="D34" s="215"/>
      <c r="E34" s="215"/>
      <c r="F34" s="215"/>
      <c r="G34" s="240"/>
      <c r="H34" s="241"/>
      <c r="I34" s="242"/>
      <c r="J34" s="246"/>
      <c r="K34" s="247"/>
      <c r="L34" s="248"/>
      <c r="M34" s="140"/>
      <c r="N34" s="140"/>
      <c r="O34" s="215"/>
      <c r="P34" s="215"/>
      <c r="Q34" s="215"/>
      <c r="R34" s="166"/>
      <c r="S34" s="59"/>
      <c r="BK34" s="65"/>
    </row>
    <row r="35" spans="1:63" s="59" customFormat="1" ht="3" customHeight="1" x14ac:dyDescent="0.25">
      <c r="A35" s="101"/>
      <c r="B35" s="102"/>
      <c r="C35" s="103"/>
      <c r="D35" s="104"/>
      <c r="E35" s="104"/>
      <c r="F35" s="104"/>
      <c r="G35" s="105"/>
      <c r="H35" s="105"/>
      <c r="I35" s="105"/>
      <c r="J35" s="104"/>
      <c r="K35" s="104"/>
      <c r="L35" s="104"/>
      <c r="M35" s="140"/>
      <c r="N35" s="140"/>
      <c r="O35" s="106"/>
      <c r="P35" s="101"/>
      <c r="Q35" s="101"/>
      <c r="R35" s="101"/>
    </row>
    <row r="36" spans="1:63" ht="15" customHeight="1" x14ac:dyDescent="0.25">
      <c r="A36" s="101"/>
      <c r="B36" s="259" t="s">
        <v>419</v>
      </c>
      <c r="C36" s="235" t="str">
        <f>IF(OR(D36&lt;&gt;"",G36&lt;&gt;"",J36&lt;&gt;""),"Bitte korrigieren Sie Ihre Angaben für 'noch geplant (N.N.-Nennungen)'.","")</f>
        <v/>
      </c>
      <c r="D36" s="215" t="str">
        <f>IF(OR(G8&lt;6,F8*0.4&gt;=G8),"","Sie haben für SMP die Schwelle für N.N.-Nennnungen überschritten.")</f>
        <v/>
      </c>
      <c r="E36" s="215"/>
      <c r="F36" s="215"/>
      <c r="G36" s="237" t="str">
        <f>IFERROR(IF(OR(G9/G8&lt;2,G9/G8&gt;12),"Die errechnete durchschnittliche Mobilitätsdauer liegt bei "&amp;TEXT(G9/G8,0)&amp;" Monaten, muss aber zwischen 2 und 12 Monaten liegen.",""),"")</f>
        <v/>
      </c>
      <c r="H36" s="238"/>
      <c r="I36" s="239"/>
      <c r="J36" s="237" t="str">
        <f>IFERROR(IF(OR(G10/G9&lt;250,G10/G9&gt;700),"Ihre errechnete Monatsrate beträgt "&amp;TEXT(G10/G9,"0")&amp;" Euro, muss aber zwischen 435 und 555 Euro liegen.",""),"")</f>
        <v/>
      </c>
      <c r="K36" s="238"/>
      <c r="L36" s="239"/>
      <c r="M36" s="140"/>
      <c r="N36" s="140"/>
      <c r="O36" s="215" t="str">
        <f>IF(AND(R18&gt;0,R22&lt;0),"Bitte transferieren Sie "&amp;IF(R18&lt;(D22-H22),R18,(D22-H22))&amp;" Euro von STT auf STA.",IF(AND(R22&gt;0,R18&lt;0),"Bitte transferieren Sie "&amp;IF(R22&lt;(D18-H18),R22,(D18-H18))&amp;" Euro von STA auf STT.",""))</f>
        <v/>
      </c>
      <c r="P36" s="215"/>
      <c r="Q36" s="215"/>
      <c r="R36" s="166"/>
      <c r="S36" s="59"/>
      <c r="BK36" s="65"/>
    </row>
    <row r="37" spans="1:63" ht="20.100000000000001" customHeight="1" x14ac:dyDescent="0.25">
      <c r="A37" s="101"/>
      <c r="B37" s="260"/>
      <c r="C37" s="236"/>
      <c r="D37" s="215"/>
      <c r="E37" s="215"/>
      <c r="F37" s="215"/>
      <c r="G37" s="240"/>
      <c r="H37" s="241"/>
      <c r="I37" s="242"/>
      <c r="J37" s="240"/>
      <c r="K37" s="241"/>
      <c r="L37" s="242"/>
      <c r="M37" s="140"/>
      <c r="N37" s="140"/>
      <c r="O37" s="215"/>
      <c r="P37" s="215"/>
      <c r="Q37" s="215"/>
      <c r="R37" s="166"/>
      <c r="S37" s="59"/>
      <c r="BK37" s="65"/>
    </row>
    <row r="38" spans="1:63" s="59" customFormat="1" ht="3" customHeight="1" x14ac:dyDescent="0.25">
      <c r="A38" s="101"/>
      <c r="B38" s="107"/>
      <c r="C38" s="103"/>
      <c r="D38" s="108"/>
      <c r="E38" s="108"/>
      <c r="F38" s="108"/>
      <c r="G38" s="105"/>
      <c r="H38" s="105"/>
      <c r="I38" s="105"/>
      <c r="J38" s="105"/>
      <c r="K38" s="105"/>
      <c r="L38" s="105"/>
      <c r="M38" s="140"/>
      <c r="N38" s="140"/>
      <c r="O38" s="106"/>
      <c r="P38" s="101"/>
      <c r="Q38" s="101"/>
      <c r="R38" s="101"/>
    </row>
    <row r="39" spans="1:63" ht="15" customHeight="1" x14ac:dyDescent="0.25">
      <c r="A39" s="101"/>
      <c r="B39" s="261" t="s">
        <v>420</v>
      </c>
      <c r="C39" s="235" t="str">
        <f>IF(OR(D39&lt;&gt;"",G39&lt;&gt;""),"Bitte korrigieren Sie Ihre Angaben für 'noch geplant (N.N.-Nennungen)'.","")</f>
        <v/>
      </c>
      <c r="D39" s="215" t="str">
        <f>IF(OR(G16&lt;6,F16*0.4&gt;=G16),"","Sie haben für STA die Schwelle für N.N.-Nennnungen überschritten.")</f>
        <v/>
      </c>
      <c r="E39" s="215"/>
      <c r="F39" s="215"/>
      <c r="G39" s="237" t="str">
        <f>IFERROR(IF(OR(G17/G16&lt;2,G17/G16&gt;60),"Die errechnete durchschnittliche Mobilitätsdauer liegt bei "&amp;TEXT(G17/G16,0)&amp;" Tagen, muss aber zwischen 2 und 60 Tagen liegen.",""),"")</f>
        <v/>
      </c>
      <c r="H39" s="238"/>
      <c r="I39" s="239"/>
      <c r="J39" s="140"/>
      <c r="K39" s="140"/>
      <c r="L39" s="140"/>
      <c r="M39" s="140"/>
      <c r="N39" s="140"/>
      <c r="O39" s="215" t="str">
        <f>IF(AND(R14&gt;0,R26&lt;0),"Bitte transferieren Sie "&amp;IF((D26-H26)&lt;R14,(R26*-1),R14)&amp;" Euro von ST auf SM.","")</f>
        <v/>
      </c>
      <c r="P39" s="215"/>
      <c r="Q39" s="215"/>
      <c r="R39" s="166"/>
      <c r="S39" s="59"/>
      <c r="BK39" s="65"/>
    </row>
    <row r="40" spans="1:63" ht="20.100000000000001" customHeight="1" x14ac:dyDescent="0.25">
      <c r="A40" s="101"/>
      <c r="B40" s="262"/>
      <c r="C40" s="236"/>
      <c r="D40" s="215"/>
      <c r="E40" s="215"/>
      <c r="F40" s="215"/>
      <c r="G40" s="240"/>
      <c r="H40" s="241"/>
      <c r="I40" s="242"/>
      <c r="J40" s="140"/>
      <c r="K40" s="140"/>
      <c r="L40" s="140"/>
      <c r="M40" s="140"/>
      <c r="N40" s="140"/>
      <c r="O40" s="215"/>
      <c r="P40" s="215"/>
      <c r="Q40" s="215"/>
      <c r="R40" s="166" t="s">
        <v>1139</v>
      </c>
      <c r="S40" s="59"/>
      <c r="BK40" s="65"/>
    </row>
    <row r="41" spans="1:63" s="59" customFormat="1" ht="3" customHeight="1" x14ac:dyDescent="0.25">
      <c r="A41" s="101"/>
      <c r="B41" s="107"/>
      <c r="C41" s="103"/>
      <c r="D41" s="104"/>
      <c r="E41" s="104"/>
      <c r="F41" s="104"/>
      <c r="G41" s="105"/>
      <c r="H41" s="105"/>
      <c r="I41" s="105"/>
      <c r="J41" s="140"/>
      <c r="K41" s="140"/>
      <c r="L41" s="140"/>
      <c r="M41" s="108"/>
      <c r="N41" s="108"/>
      <c r="O41" s="108"/>
      <c r="P41" s="101"/>
      <c r="Q41" s="101"/>
      <c r="R41" s="101"/>
    </row>
    <row r="42" spans="1:63" ht="15" customHeight="1" x14ac:dyDescent="0.25">
      <c r="A42" s="101"/>
      <c r="B42" s="263" t="s">
        <v>421</v>
      </c>
      <c r="C42" s="235" t="str">
        <f>IF(OR(D42&lt;&gt;"",G42&lt;&gt;""),"Bitte korrigieren Sie Ihre Angaben für 'noch geplant (N.N.-Nennungen)'.","")</f>
        <v/>
      </c>
      <c r="D42" s="215" t="str">
        <f>IF(OR(G20&lt;6,F20*0.4&gt;=G20),"","Sie haben für STT die Schwelle für N.N.-Nennnungen überschritten.")</f>
        <v/>
      </c>
      <c r="E42" s="215"/>
      <c r="F42" s="215"/>
      <c r="G42" s="237" t="str">
        <f>IFERROR(IF(OR(G21/G20&lt;2,G21/G20&gt;60),"Die errechnete durchschnittliche Mobilitätsdauer liegt bei "&amp;TEXT(G21/G20,0)&amp;" Tagen, muss aber zwischen 2 und 60 Tagen liegen.",""),"")</f>
        <v/>
      </c>
      <c r="H42" s="238"/>
      <c r="I42" s="239"/>
      <c r="J42" s="140"/>
      <c r="K42" s="140"/>
      <c r="L42" s="140"/>
      <c r="M42" s="59"/>
      <c r="N42" s="59"/>
      <c r="O42" s="215" t="str">
        <f>IF(AND(R14&lt;0,R26&gt;0),"Bitte transferieren Sie "&amp;IF((D14-H14)&lt;R26,(R14*-1),R26)&amp;" EUR von SM auf ST.","")</f>
        <v/>
      </c>
      <c r="P42" s="215"/>
      <c r="Q42" s="215"/>
      <c r="R42" s="166"/>
      <c r="S42" s="59"/>
      <c r="BK42" s="65"/>
    </row>
    <row r="43" spans="1:63" ht="20.100000000000001" customHeight="1" x14ac:dyDescent="0.25">
      <c r="A43" s="101"/>
      <c r="B43" s="264"/>
      <c r="C43" s="236"/>
      <c r="D43" s="215"/>
      <c r="E43" s="215"/>
      <c r="F43" s="215"/>
      <c r="G43" s="240"/>
      <c r="H43" s="241"/>
      <c r="I43" s="242"/>
      <c r="J43" s="140"/>
      <c r="K43" s="140"/>
      <c r="L43" s="140"/>
      <c r="M43" s="59"/>
      <c r="N43" s="59"/>
      <c r="O43" s="215"/>
      <c r="P43" s="215"/>
      <c r="Q43" s="215"/>
      <c r="R43" s="166"/>
      <c r="S43" s="59"/>
      <c r="BK43" s="65"/>
    </row>
    <row r="44" spans="1:63" x14ac:dyDescent="0.25">
      <c r="A44" s="101"/>
      <c r="B44" s="101"/>
      <c r="C44" s="101"/>
      <c r="D44" s="101"/>
      <c r="E44" s="101"/>
      <c r="F44" s="101"/>
      <c r="G44" s="101"/>
      <c r="H44" s="101"/>
      <c r="I44" s="101"/>
      <c r="J44" s="101"/>
      <c r="K44" s="109"/>
      <c r="L44" s="109"/>
      <c r="M44" s="109"/>
      <c r="N44" s="109"/>
      <c r="O44" s="109"/>
      <c r="P44" s="101"/>
      <c r="Q44" s="101"/>
      <c r="R44" s="101"/>
      <c r="S44" s="101"/>
    </row>
    <row r="45" spans="1:63" x14ac:dyDescent="0.25">
      <c r="B45" s="59"/>
      <c r="C45" s="59"/>
      <c r="D45" s="59"/>
      <c r="E45" s="59"/>
      <c r="F45" s="59"/>
      <c r="G45" s="59"/>
      <c r="H45" s="59"/>
      <c r="I45" s="59"/>
      <c r="J45" s="59"/>
      <c r="K45" s="59"/>
      <c r="L45" s="59"/>
      <c r="M45" s="59"/>
      <c r="N45" s="59"/>
      <c r="O45" s="59"/>
      <c r="P45" s="59"/>
      <c r="Q45" s="59"/>
      <c r="R45" s="59"/>
      <c r="S45" s="59"/>
    </row>
    <row r="46" spans="1:63" x14ac:dyDescent="0.25">
      <c r="B46" s="59"/>
      <c r="C46" s="59"/>
      <c r="D46" s="59"/>
      <c r="E46" s="59"/>
      <c r="F46" s="59"/>
      <c r="G46" s="59"/>
      <c r="H46" s="59"/>
      <c r="I46" s="59"/>
      <c r="J46" s="59"/>
      <c r="K46" s="59"/>
      <c r="L46" s="59"/>
      <c r="M46" s="59"/>
      <c r="N46" s="59"/>
      <c r="O46" s="59"/>
      <c r="P46" s="59"/>
      <c r="Q46" s="59"/>
      <c r="R46" s="59"/>
      <c r="S46" s="59"/>
    </row>
    <row r="47" spans="1:63" s="59" customFormat="1" x14ac:dyDescent="0.25"/>
    <row r="48" spans="1:63" s="59" customFormat="1" x14ac:dyDescent="0.25"/>
    <row r="49" spans="2:19" s="59" customFormat="1" x14ac:dyDescent="0.25"/>
    <row r="50" spans="2:19" s="59" customFormat="1" x14ac:dyDescent="0.25">
      <c r="B50" s="60"/>
      <c r="D50" s="61"/>
      <c r="E50" s="61"/>
      <c r="H50" s="61"/>
      <c r="I50" s="61"/>
      <c r="Q50" s="62"/>
      <c r="R50" s="63"/>
      <c r="S50" s="64"/>
    </row>
    <row r="51" spans="2:19" s="59" customFormat="1" x14ac:dyDescent="0.25">
      <c r="B51" s="60"/>
      <c r="D51" s="61"/>
      <c r="E51" s="61"/>
      <c r="H51" s="61"/>
      <c r="I51" s="61"/>
      <c r="Q51" s="62"/>
      <c r="R51" s="63"/>
      <c r="S51" s="64"/>
    </row>
    <row r="52" spans="2:19" s="59" customFormat="1" x14ac:dyDescent="0.25">
      <c r="B52" s="60"/>
      <c r="D52" s="61"/>
      <c r="E52" s="61"/>
      <c r="H52" s="61"/>
      <c r="I52" s="61"/>
      <c r="Q52" s="62"/>
      <c r="R52" s="63"/>
      <c r="S52" s="64"/>
    </row>
    <row r="53" spans="2:19" s="59" customFormat="1" x14ac:dyDescent="0.25">
      <c r="B53" s="60"/>
      <c r="D53" s="61"/>
      <c r="E53" s="61"/>
      <c r="H53" s="61"/>
      <c r="I53" s="61"/>
      <c r="Q53" s="62"/>
      <c r="R53" s="63"/>
      <c r="S53" s="64"/>
    </row>
    <row r="54" spans="2:19" s="59" customFormat="1" x14ac:dyDescent="0.25">
      <c r="B54" s="60"/>
      <c r="D54" s="61"/>
      <c r="E54" s="61"/>
      <c r="H54" s="61"/>
      <c r="I54" s="61"/>
      <c r="Q54" s="62"/>
      <c r="R54" s="63"/>
      <c r="S54" s="64"/>
    </row>
    <row r="55" spans="2:19" s="59" customFormat="1" x14ac:dyDescent="0.25">
      <c r="B55" s="60"/>
      <c r="D55" s="61"/>
      <c r="E55" s="61"/>
      <c r="H55" s="61"/>
      <c r="I55" s="61"/>
      <c r="Q55" s="62"/>
      <c r="R55" s="63"/>
      <c r="S55" s="64"/>
    </row>
    <row r="56" spans="2:19" s="59" customFormat="1" x14ac:dyDescent="0.25">
      <c r="B56" s="60"/>
      <c r="D56" s="61"/>
      <c r="E56" s="61"/>
      <c r="H56" s="61"/>
      <c r="I56" s="61"/>
      <c r="Q56" s="62"/>
      <c r="R56" s="63"/>
      <c r="S56" s="64"/>
    </row>
    <row r="57" spans="2:19" s="59" customFormat="1" x14ac:dyDescent="0.25">
      <c r="B57" s="60"/>
      <c r="D57" s="61"/>
      <c r="E57" s="61"/>
      <c r="H57" s="61"/>
      <c r="I57" s="61"/>
      <c r="Q57" s="62"/>
      <c r="R57" s="63"/>
      <c r="S57" s="64"/>
    </row>
    <row r="58" spans="2:19" s="59" customFormat="1" x14ac:dyDescent="0.25">
      <c r="B58" s="60"/>
      <c r="D58" s="61"/>
      <c r="E58" s="61"/>
      <c r="H58" s="61"/>
      <c r="I58" s="61"/>
      <c r="Q58" s="62"/>
      <c r="R58" s="63"/>
      <c r="S58" s="64"/>
    </row>
    <row r="59" spans="2:19" s="59" customFormat="1" x14ac:dyDescent="0.25">
      <c r="B59" s="60"/>
      <c r="D59" s="61"/>
      <c r="E59" s="61"/>
      <c r="H59" s="61"/>
      <c r="I59" s="61"/>
      <c r="Q59" s="62"/>
      <c r="R59" s="63"/>
      <c r="S59" s="64"/>
    </row>
    <row r="60" spans="2:19" s="59" customFormat="1" x14ac:dyDescent="0.25">
      <c r="B60" s="60"/>
      <c r="D60" s="61"/>
      <c r="E60" s="61"/>
      <c r="H60" s="61"/>
      <c r="I60" s="61"/>
      <c r="Q60" s="62"/>
      <c r="R60" s="63"/>
      <c r="S60" s="64"/>
    </row>
    <row r="61" spans="2:19" s="59" customFormat="1" x14ac:dyDescent="0.25">
      <c r="B61" s="60"/>
      <c r="D61" s="61"/>
      <c r="E61" s="61"/>
      <c r="H61" s="61"/>
      <c r="I61" s="61"/>
      <c r="Q61" s="62"/>
      <c r="R61" s="63"/>
      <c r="S61" s="64"/>
    </row>
    <row r="62" spans="2:19" s="59" customFormat="1" x14ac:dyDescent="0.25">
      <c r="B62" s="60"/>
      <c r="D62" s="61"/>
      <c r="E62" s="61"/>
      <c r="H62" s="61"/>
      <c r="I62" s="61"/>
      <c r="Q62" s="62"/>
      <c r="R62" s="63"/>
      <c r="S62" s="64"/>
    </row>
    <row r="63" spans="2:19" s="59" customFormat="1" x14ac:dyDescent="0.25">
      <c r="B63" s="60"/>
      <c r="D63" s="61"/>
      <c r="E63" s="61"/>
      <c r="H63" s="61"/>
      <c r="I63" s="61"/>
      <c r="Q63" s="62"/>
      <c r="R63" s="63"/>
      <c r="S63" s="64"/>
    </row>
    <row r="64" spans="2:19" s="59" customFormat="1" x14ac:dyDescent="0.25">
      <c r="B64" s="60"/>
      <c r="D64" s="61"/>
      <c r="E64" s="61"/>
      <c r="H64" s="61"/>
      <c r="I64" s="61"/>
      <c r="Q64" s="62"/>
      <c r="R64" s="63"/>
      <c r="S64" s="64"/>
    </row>
    <row r="65" spans="2:19" s="59" customFormat="1" x14ac:dyDescent="0.25">
      <c r="B65" s="60"/>
      <c r="D65" s="61"/>
      <c r="E65" s="61"/>
      <c r="H65" s="61"/>
      <c r="I65" s="61"/>
      <c r="Q65" s="62"/>
      <c r="R65" s="63"/>
      <c r="S65" s="64"/>
    </row>
    <row r="66" spans="2:19" s="59" customFormat="1" x14ac:dyDescent="0.25">
      <c r="B66" s="60"/>
      <c r="D66" s="61"/>
      <c r="E66" s="61"/>
      <c r="H66" s="61"/>
      <c r="I66" s="61"/>
      <c r="Q66" s="62"/>
      <c r="R66" s="63"/>
      <c r="S66" s="64"/>
    </row>
    <row r="67" spans="2:19" s="59" customFormat="1" x14ac:dyDescent="0.25">
      <c r="B67" s="60"/>
      <c r="D67" s="61"/>
      <c r="E67" s="61"/>
      <c r="H67" s="61"/>
      <c r="I67" s="61"/>
      <c r="Q67" s="62"/>
      <c r="R67" s="63"/>
      <c r="S67" s="64"/>
    </row>
    <row r="68" spans="2:19" s="59" customFormat="1" x14ac:dyDescent="0.25">
      <c r="B68" s="60"/>
      <c r="D68" s="61"/>
      <c r="E68" s="61"/>
      <c r="H68" s="61"/>
      <c r="I68" s="61"/>
      <c r="Q68" s="62"/>
      <c r="R68" s="63"/>
      <c r="S68" s="64"/>
    </row>
    <row r="69" spans="2:19" s="59" customFormat="1" x14ac:dyDescent="0.25">
      <c r="B69" s="60"/>
      <c r="D69" s="61"/>
      <c r="E69" s="61"/>
      <c r="H69" s="61"/>
      <c r="I69" s="61"/>
      <c r="Q69" s="62"/>
      <c r="R69" s="63"/>
      <c r="S69" s="64"/>
    </row>
    <row r="70" spans="2:19" s="59" customFormat="1" x14ac:dyDescent="0.25">
      <c r="B70" s="60"/>
      <c r="D70" s="61"/>
      <c r="E70" s="61"/>
      <c r="H70" s="61"/>
      <c r="I70" s="61"/>
      <c r="Q70" s="62"/>
      <c r="R70" s="63"/>
      <c r="S70" s="64"/>
    </row>
    <row r="71" spans="2:19" s="59" customFormat="1" x14ac:dyDescent="0.25">
      <c r="B71" s="60"/>
      <c r="D71" s="61"/>
      <c r="E71" s="61"/>
      <c r="H71" s="61"/>
      <c r="I71" s="61"/>
      <c r="Q71" s="62"/>
      <c r="R71" s="63"/>
      <c r="S71" s="64"/>
    </row>
    <row r="72" spans="2:19" s="59" customFormat="1" x14ac:dyDescent="0.25">
      <c r="B72" s="60"/>
      <c r="D72" s="61"/>
      <c r="E72" s="61"/>
      <c r="H72" s="61"/>
      <c r="I72" s="61"/>
      <c r="Q72" s="62"/>
      <c r="R72" s="63"/>
      <c r="S72" s="64"/>
    </row>
    <row r="73" spans="2:19" s="59" customFormat="1" x14ac:dyDescent="0.25">
      <c r="B73" s="60"/>
      <c r="D73" s="61"/>
      <c r="E73" s="61"/>
      <c r="H73" s="61"/>
      <c r="I73" s="61"/>
      <c r="Q73" s="62"/>
      <c r="R73" s="63"/>
      <c r="S73" s="64"/>
    </row>
    <row r="74" spans="2:19" s="59" customFormat="1" x14ac:dyDescent="0.25">
      <c r="B74" s="60"/>
      <c r="D74" s="61"/>
      <c r="E74" s="61"/>
      <c r="H74" s="61"/>
      <c r="I74" s="61"/>
      <c r="Q74" s="62"/>
      <c r="R74" s="63"/>
      <c r="S74" s="64"/>
    </row>
    <row r="75" spans="2:19" s="59" customFormat="1" x14ac:dyDescent="0.25">
      <c r="B75" s="60"/>
      <c r="D75" s="61"/>
      <c r="E75" s="61"/>
      <c r="H75" s="61"/>
      <c r="I75" s="61"/>
      <c r="Q75" s="62"/>
      <c r="R75" s="63"/>
      <c r="S75" s="64"/>
    </row>
    <row r="76" spans="2:19" s="59" customFormat="1" x14ac:dyDescent="0.25">
      <c r="B76" s="60"/>
      <c r="D76" s="61"/>
      <c r="E76" s="61"/>
      <c r="H76" s="61"/>
      <c r="I76" s="61"/>
      <c r="Q76" s="62"/>
      <c r="R76" s="63"/>
      <c r="S76" s="64"/>
    </row>
    <row r="77" spans="2:19" s="59" customFormat="1" x14ac:dyDescent="0.25">
      <c r="B77" s="60"/>
      <c r="D77" s="61"/>
      <c r="E77" s="61"/>
      <c r="H77" s="61"/>
      <c r="I77" s="61"/>
      <c r="Q77" s="62"/>
      <c r="R77" s="63"/>
      <c r="S77" s="64"/>
    </row>
    <row r="78" spans="2:19" s="59" customFormat="1" x14ac:dyDescent="0.25">
      <c r="B78" s="60"/>
      <c r="D78" s="61"/>
      <c r="E78" s="61"/>
      <c r="H78" s="61"/>
      <c r="I78" s="61"/>
      <c r="Q78" s="62"/>
      <c r="R78" s="63"/>
      <c r="S78" s="64"/>
    </row>
    <row r="79" spans="2:19" s="59" customFormat="1" x14ac:dyDescent="0.25">
      <c r="B79" s="60"/>
      <c r="D79" s="61"/>
      <c r="E79" s="61"/>
      <c r="H79" s="61"/>
      <c r="I79" s="61"/>
      <c r="Q79" s="62"/>
      <c r="R79" s="63"/>
      <c r="S79" s="64"/>
    </row>
    <row r="80" spans="2:19" s="59" customFormat="1" x14ac:dyDescent="0.25">
      <c r="B80" s="60"/>
      <c r="D80" s="61"/>
      <c r="E80" s="61"/>
      <c r="H80" s="61"/>
      <c r="I80" s="61"/>
      <c r="Q80" s="62"/>
      <c r="R80" s="63"/>
      <c r="S80" s="64"/>
    </row>
    <row r="81" spans="2:19" s="59" customFormat="1" x14ac:dyDescent="0.25">
      <c r="B81" s="60"/>
      <c r="D81" s="61"/>
      <c r="E81" s="61"/>
      <c r="H81" s="61"/>
      <c r="I81" s="61"/>
      <c r="Q81" s="62"/>
      <c r="R81" s="63"/>
      <c r="S81" s="64"/>
    </row>
    <row r="82" spans="2:19" s="59" customFormat="1" x14ac:dyDescent="0.25">
      <c r="B82" s="60"/>
      <c r="D82" s="61"/>
      <c r="E82" s="61"/>
      <c r="H82" s="61"/>
      <c r="I82" s="61"/>
      <c r="Q82" s="62"/>
      <c r="R82" s="63"/>
      <c r="S82" s="64"/>
    </row>
    <row r="83" spans="2:19" s="59" customFormat="1" x14ac:dyDescent="0.25">
      <c r="B83" s="60"/>
      <c r="D83" s="61"/>
      <c r="E83" s="61"/>
      <c r="H83" s="61"/>
      <c r="I83" s="61"/>
      <c r="Q83" s="62"/>
      <c r="R83" s="63"/>
      <c r="S83" s="64"/>
    </row>
    <row r="84" spans="2:19" s="59" customFormat="1" x14ac:dyDescent="0.25">
      <c r="B84" s="60"/>
      <c r="D84" s="61"/>
      <c r="E84" s="61"/>
      <c r="H84" s="61"/>
      <c r="I84" s="61"/>
      <c r="Q84" s="62"/>
      <c r="R84" s="63"/>
      <c r="S84" s="64"/>
    </row>
    <row r="85" spans="2:19" s="59" customFormat="1" x14ac:dyDescent="0.25">
      <c r="B85" s="60"/>
      <c r="D85" s="61"/>
      <c r="E85" s="61"/>
      <c r="H85" s="61"/>
      <c r="I85" s="61"/>
      <c r="Q85" s="62"/>
      <c r="R85" s="63"/>
      <c r="S85" s="64"/>
    </row>
    <row r="86" spans="2:19" s="59" customFormat="1" x14ac:dyDescent="0.25">
      <c r="B86" s="60"/>
      <c r="D86" s="61"/>
      <c r="E86" s="61"/>
      <c r="H86" s="61"/>
      <c r="I86" s="61"/>
      <c r="Q86" s="62"/>
      <c r="R86" s="63"/>
      <c r="S86" s="64"/>
    </row>
    <row r="87" spans="2:19" s="59" customFormat="1" x14ac:dyDescent="0.25">
      <c r="B87" s="60"/>
      <c r="D87" s="61"/>
      <c r="E87" s="61"/>
      <c r="H87" s="61"/>
      <c r="I87" s="61"/>
      <c r="Q87" s="62"/>
      <c r="R87" s="63"/>
      <c r="S87" s="64"/>
    </row>
    <row r="88" spans="2:19" s="59" customFormat="1" x14ac:dyDescent="0.25">
      <c r="B88" s="60"/>
      <c r="D88" s="61"/>
      <c r="E88" s="61"/>
      <c r="H88" s="61"/>
      <c r="I88" s="61"/>
      <c r="Q88" s="62"/>
      <c r="R88" s="63"/>
      <c r="S88" s="64"/>
    </row>
    <row r="89" spans="2:19" s="59" customFormat="1" x14ac:dyDescent="0.25">
      <c r="B89" s="60"/>
      <c r="D89" s="61"/>
      <c r="E89" s="61"/>
      <c r="H89" s="61"/>
      <c r="I89" s="61"/>
      <c r="Q89" s="62"/>
      <c r="R89" s="63"/>
      <c r="S89" s="64"/>
    </row>
    <row r="90" spans="2:19" s="59" customFormat="1" x14ac:dyDescent="0.25">
      <c r="B90" s="60"/>
      <c r="D90" s="61"/>
      <c r="E90" s="61"/>
      <c r="H90" s="61"/>
      <c r="I90" s="61"/>
      <c r="Q90" s="62"/>
      <c r="R90" s="63"/>
      <c r="S90" s="64"/>
    </row>
    <row r="91" spans="2:19" s="59" customFormat="1" x14ac:dyDescent="0.25">
      <c r="B91" s="60"/>
      <c r="D91" s="61"/>
      <c r="E91" s="61"/>
      <c r="H91" s="61"/>
      <c r="I91" s="61"/>
      <c r="Q91" s="62"/>
      <c r="R91" s="63"/>
      <c r="S91" s="64"/>
    </row>
    <row r="92" spans="2:19" s="59" customFormat="1" x14ac:dyDescent="0.25">
      <c r="B92" s="60"/>
      <c r="D92" s="61"/>
      <c r="E92" s="61"/>
      <c r="H92" s="61"/>
      <c r="I92" s="61"/>
      <c r="Q92" s="62"/>
      <c r="R92" s="63"/>
      <c r="S92" s="64"/>
    </row>
    <row r="93" spans="2:19" s="59" customFormat="1" x14ac:dyDescent="0.25">
      <c r="B93" s="60"/>
      <c r="D93" s="61"/>
      <c r="E93" s="61"/>
      <c r="H93" s="61"/>
      <c r="I93" s="61"/>
      <c r="Q93" s="62"/>
      <c r="R93" s="63"/>
      <c r="S93" s="64"/>
    </row>
    <row r="94" spans="2:19" s="59" customFormat="1" x14ac:dyDescent="0.25">
      <c r="B94" s="60"/>
      <c r="D94" s="61"/>
      <c r="E94" s="61"/>
      <c r="H94" s="61"/>
      <c r="I94" s="61"/>
      <c r="Q94" s="62"/>
      <c r="R94" s="63"/>
      <c r="S94" s="64"/>
    </row>
    <row r="95" spans="2:19" s="59" customFormat="1" x14ac:dyDescent="0.25">
      <c r="B95" s="60"/>
      <c r="D95" s="61"/>
      <c r="E95" s="61"/>
      <c r="H95" s="61"/>
      <c r="I95" s="61"/>
      <c r="Q95" s="62"/>
      <c r="R95" s="63"/>
      <c r="S95" s="64"/>
    </row>
    <row r="96" spans="2:19" s="59" customFormat="1" x14ac:dyDescent="0.25">
      <c r="B96" s="60"/>
      <c r="D96" s="61"/>
      <c r="E96" s="61"/>
      <c r="H96" s="61"/>
      <c r="I96" s="61"/>
      <c r="Q96" s="62"/>
      <c r="R96" s="63"/>
      <c r="S96" s="64"/>
    </row>
    <row r="97" spans="2:19" s="59" customFormat="1" x14ac:dyDescent="0.25">
      <c r="B97" s="60"/>
      <c r="D97" s="61"/>
      <c r="E97" s="61"/>
      <c r="H97" s="61"/>
      <c r="I97" s="61"/>
      <c r="Q97" s="62"/>
      <c r="R97" s="63"/>
      <c r="S97" s="64"/>
    </row>
    <row r="98" spans="2:19" s="59" customFormat="1" x14ac:dyDescent="0.25">
      <c r="B98" s="60"/>
      <c r="D98" s="61"/>
      <c r="E98" s="61"/>
      <c r="H98" s="61"/>
      <c r="I98" s="61"/>
      <c r="Q98" s="62"/>
      <c r="R98" s="63"/>
      <c r="S98" s="64"/>
    </row>
    <row r="99" spans="2:19" s="59" customFormat="1" x14ac:dyDescent="0.25">
      <c r="B99" s="60"/>
      <c r="D99" s="61"/>
      <c r="E99" s="61"/>
      <c r="H99" s="61"/>
      <c r="I99" s="61"/>
      <c r="Q99" s="62"/>
      <c r="R99" s="63"/>
      <c r="S99" s="64"/>
    </row>
    <row r="100" spans="2:19" s="59" customFormat="1" x14ac:dyDescent="0.25">
      <c r="B100" s="60"/>
      <c r="D100" s="61"/>
      <c r="E100" s="61"/>
      <c r="H100" s="61"/>
      <c r="I100" s="61"/>
      <c r="Q100" s="62"/>
      <c r="R100" s="63"/>
      <c r="S100" s="64"/>
    </row>
    <row r="101" spans="2:19" s="59" customFormat="1" x14ac:dyDescent="0.25">
      <c r="B101" s="60"/>
      <c r="D101" s="61"/>
      <c r="E101" s="61"/>
      <c r="H101" s="61"/>
      <c r="I101" s="61"/>
      <c r="Q101" s="62"/>
      <c r="R101" s="63"/>
      <c r="S101" s="64"/>
    </row>
    <row r="102" spans="2:19" s="59" customFormat="1" x14ac:dyDescent="0.25">
      <c r="B102" s="60"/>
      <c r="D102" s="61"/>
      <c r="E102" s="61"/>
      <c r="H102" s="61"/>
      <c r="I102" s="61"/>
      <c r="Q102" s="62"/>
      <c r="R102" s="63"/>
      <c r="S102" s="64"/>
    </row>
    <row r="103" spans="2:19" s="59" customFormat="1" x14ac:dyDescent="0.25">
      <c r="B103" s="60"/>
      <c r="D103" s="61"/>
      <c r="E103" s="61"/>
      <c r="H103" s="61"/>
      <c r="I103" s="61"/>
      <c r="Q103" s="62"/>
      <c r="R103" s="63"/>
      <c r="S103" s="64"/>
    </row>
    <row r="104" spans="2:19" s="59" customFormat="1" x14ac:dyDescent="0.25">
      <c r="B104" s="60"/>
      <c r="D104" s="61"/>
      <c r="E104" s="61"/>
      <c r="H104" s="61"/>
      <c r="I104" s="61"/>
      <c r="Q104" s="62"/>
      <c r="R104" s="63"/>
      <c r="S104" s="64"/>
    </row>
    <row r="105" spans="2:19" s="59" customFormat="1" x14ac:dyDescent="0.25">
      <c r="B105" s="60"/>
      <c r="D105" s="61"/>
      <c r="E105" s="61"/>
      <c r="H105" s="61"/>
      <c r="I105" s="61"/>
      <c r="Q105" s="62"/>
      <c r="R105" s="63"/>
      <c r="S105" s="64"/>
    </row>
    <row r="106" spans="2:19" s="59" customFormat="1" x14ac:dyDescent="0.25">
      <c r="B106" s="60"/>
      <c r="D106" s="61"/>
      <c r="E106" s="61"/>
      <c r="H106" s="61"/>
      <c r="I106" s="61"/>
      <c r="Q106" s="62"/>
      <c r="R106" s="63"/>
      <c r="S106" s="64"/>
    </row>
    <row r="107" spans="2:19" s="59" customFormat="1" x14ac:dyDescent="0.25">
      <c r="B107" s="60"/>
      <c r="D107" s="61"/>
      <c r="E107" s="61"/>
      <c r="H107" s="61"/>
      <c r="I107" s="61"/>
      <c r="Q107" s="62"/>
      <c r="R107" s="63"/>
      <c r="S107" s="64"/>
    </row>
    <row r="108" spans="2:19" s="59" customFormat="1" x14ac:dyDescent="0.25">
      <c r="B108" s="60"/>
      <c r="D108" s="61"/>
      <c r="E108" s="61"/>
      <c r="H108" s="61"/>
      <c r="I108" s="61"/>
      <c r="Q108" s="62"/>
      <c r="R108" s="63"/>
      <c r="S108" s="64"/>
    </row>
    <row r="109" spans="2:19" s="59" customFormat="1" x14ac:dyDescent="0.25">
      <c r="B109" s="60"/>
      <c r="D109" s="61"/>
      <c r="E109" s="61"/>
      <c r="H109" s="61"/>
      <c r="I109" s="61"/>
      <c r="Q109" s="62"/>
      <c r="R109" s="63"/>
      <c r="S109" s="64"/>
    </row>
    <row r="110" spans="2:19" s="59" customFormat="1" x14ac:dyDescent="0.25">
      <c r="B110" s="60"/>
      <c r="D110" s="61"/>
      <c r="E110" s="61"/>
      <c r="H110" s="61"/>
      <c r="I110" s="61"/>
      <c r="Q110" s="62"/>
      <c r="R110" s="63"/>
      <c r="S110" s="64"/>
    </row>
    <row r="111" spans="2:19" s="59" customFormat="1" x14ac:dyDescent="0.25">
      <c r="B111" s="60"/>
      <c r="D111" s="61"/>
      <c r="E111" s="61"/>
      <c r="H111" s="61"/>
      <c r="I111" s="61"/>
      <c r="Q111" s="62"/>
      <c r="R111" s="63"/>
      <c r="S111" s="64"/>
    </row>
    <row r="112" spans="2:19" s="59" customFormat="1" x14ac:dyDescent="0.25">
      <c r="B112" s="60"/>
      <c r="D112" s="61"/>
      <c r="E112" s="61"/>
      <c r="H112" s="61"/>
      <c r="I112" s="61"/>
      <c r="Q112" s="62"/>
      <c r="R112" s="63"/>
      <c r="S112" s="64"/>
    </row>
    <row r="113" spans="2:19" s="59" customFormat="1" x14ac:dyDescent="0.25">
      <c r="B113" s="60"/>
      <c r="D113" s="61"/>
      <c r="E113" s="61"/>
      <c r="H113" s="61"/>
      <c r="I113" s="61"/>
      <c r="Q113" s="62"/>
      <c r="R113" s="63"/>
      <c r="S113" s="64"/>
    </row>
    <row r="114" spans="2:19" s="59" customFormat="1" x14ac:dyDescent="0.25">
      <c r="B114" s="60"/>
      <c r="D114" s="61"/>
      <c r="E114" s="61"/>
      <c r="H114" s="61"/>
      <c r="I114" s="61"/>
      <c r="Q114" s="62"/>
      <c r="R114" s="63"/>
      <c r="S114" s="64"/>
    </row>
    <row r="115" spans="2:19" s="59" customFormat="1" x14ac:dyDescent="0.25">
      <c r="B115" s="60"/>
      <c r="D115" s="61"/>
      <c r="E115" s="61"/>
      <c r="H115" s="61"/>
      <c r="I115" s="61"/>
      <c r="Q115" s="62"/>
      <c r="R115" s="63"/>
      <c r="S115" s="64"/>
    </row>
    <row r="116" spans="2:19" s="59" customFormat="1" x14ac:dyDescent="0.25">
      <c r="B116" s="60"/>
      <c r="D116" s="61"/>
      <c r="E116" s="61"/>
      <c r="H116" s="61"/>
      <c r="I116" s="61"/>
      <c r="Q116" s="62"/>
      <c r="R116" s="63"/>
      <c r="S116" s="64"/>
    </row>
    <row r="117" spans="2:19" s="59" customFormat="1" x14ac:dyDescent="0.25">
      <c r="B117" s="60"/>
      <c r="D117" s="61"/>
      <c r="E117" s="61"/>
      <c r="H117" s="61"/>
      <c r="I117" s="61"/>
      <c r="Q117" s="62"/>
      <c r="R117" s="63"/>
      <c r="S117" s="64"/>
    </row>
    <row r="118" spans="2:19" s="59" customFormat="1" x14ac:dyDescent="0.25">
      <c r="B118" s="60"/>
      <c r="D118" s="61"/>
      <c r="E118" s="61"/>
      <c r="H118" s="61"/>
      <c r="I118" s="61"/>
      <c r="Q118" s="62"/>
      <c r="R118" s="63"/>
      <c r="S118" s="64"/>
    </row>
    <row r="119" spans="2:19" s="59" customFormat="1" x14ac:dyDescent="0.25">
      <c r="B119" s="60"/>
      <c r="D119" s="61"/>
      <c r="E119" s="61"/>
      <c r="H119" s="61"/>
      <c r="I119" s="61"/>
      <c r="Q119" s="62"/>
      <c r="R119" s="63"/>
      <c r="S119" s="64"/>
    </row>
    <row r="120" spans="2:19" s="59" customFormat="1" x14ac:dyDescent="0.25">
      <c r="B120" s="60"/>
      <c r="D120" s="61"/>
      <c r="E120" s="61"/>
      <c r="H120" s="61"/>
      <c r="I120" s="61"/>
      <c r="Q120" s="62"/>
      <c r="R120" s="63"/>
      <c r="S120" s="64"/>
    </row>
    <row r="121" spans="2:19" s="59" customFormat="1" x14ac:dyDescent="0.25">
      <c r="B121" s="60"/>
      <c r="D121" s="61"/>
      <c r="E121" s="61"/>
      <c r="H121" s="61"/>
      <c r="I121" s="61"/>
      <c r="Q121" s="62"/>
      <c r="R121" s="63"/>
      <c r="S121" s="64"/>
    </row>
    <row r="122" spans="2:19" s="59" customFormat="1" x14ac:dyDescent="0.25">
      <c r="B122" s="60"/>
      <c r="D122" s="61"/>
      <c r="E122" s="61"/>
      <c r="H122" s="61"/>
      <c r="I122" s="61"/>
      <c r="Q122" s="62"/>
      <c r="R122" s="63"/>
      <c r="S122" s="64"/>
    </row>
    <row r="123" spans="2:19" s="59" customFormat="1" x14ac:dyDescent="0.25">
      <c r="B123" s="60"/>
      <c r="D123" s="61"/>
      <c r="E123" s="61"/>
      <c r="H123" s="61"/>
      <c r="I123" s="61"/>
      <c r="Q123" s="62"/>
      <c r="R123" s="63"/>
      <c r="S123" s="64"/>
    </row>
    <row r="124" spans="2:19" s="59" customFormat="1" x14ac:dyDescent="0.25">
      <c r="B124" s="60"/>
      <c r="D124" s="61"/>
      <c r="E124" s="61"/>
      <c r="H124" s="61"/>
      <c r="I124" s="61"/>
      <c r="Q124" s="62"/>
      <c r="R124" s="63"/>
      <c r="S124" s="64"/>
    </row>
    <row r="125" spans="2:19" s="59" customFormat="1" x14ac:dyDescent="0.25">
      <c r="B125" s="60"/>
      <c r="D125" s="61"/>
      <c r="E125" s="61"/>
      <c r="H125" s="61"/>
      <c r="I125" s="61"/>
      <c r="Q125" s="62"/>
      <c r="R125" s="63"/>
      <c r="S125" s="64"/>
    </row>
    <row r="126" spans="2:19" s="59" customFormat="1" x14ac:dyDescent="0.25">
      <c r="B126" s="60"/>
      <c r="D126" s="61"/>
      <c r="E126" s="61"/>
      <c r="H126" s="61"/>
      <c r="I126" s="61"/>
      <c r="Q126" s="62"/>
      <c r="R126" s="63"/>
      <c r="S126" s="64"/>
    </row>
    <row r="127" spans="2:19" s="59" customFormat="1" x14ac:dyDescent="0.25">
      <c r="B127" s="60"/>
      <c r="D127" s="61"/>
      <c r="E127" s="61"/>
      <c r="H127" s="61"/>
      <c r="I127" s="61"/>
      <c r="Q127" s="62"/>
      <c r="R127" s="63"/>
      <c r="S127" s="64"/>
    </row>
    <row r="128" spans="2:19" s="59" customFormat="1" x14ac:dyDescent="0.25">
      <c r="B128" s="60"/>
      <c r="D128" s="61"/>
      <c r="E128" s="61"/>
      <c r="H128" s="61"/>
      <c r="I128" s="61"/>
      <c r="Q128" s="62"/>
      <c r="R128" s="63"/>
      <c r="S128" s="64"/>
    </row>
    <row r="129" spans="2:19" s="59" customFormat="1" x14ac:dyDescent="0.25">
      <c r="B129" s="60"/>
      <c r="D129" s="61"/>
      <c r="E129" s="61"/>
      <c r="H129" s="61"/>
      <c r="I129" s="61"/>
      <c r="Q129" s="62"/>
      <c r="R129" s="63"/>
      <c r="S129" s="64"/>
    </row>
    <row r="130" spans="2:19" s="59" customFormat="1" x14ac:dyDescent="0.25">
      <c r="B130" s="60"/>
      <c r="D130" s="61"/>
      <c r="E130" s="61"/>
      <c r="H130" s="61"/>
      <c r="I130" s="61"/>
      <c r="Q130" s="62"/>
      <c r="R130" s="63"/>
      <c r="S130" s="64"/>
    </row>
    <row r="131" spans="2:19" s="59" customFormat="1" x14ac:dyDescent="0.25">
      <c r="B131" s="60"/>
      <c r="D131" s="61"/>
      <c r="E131" s="61"/>
      <c r="H131" s="61"/>
      <c r="I131" s="61"/>
      <c r="Q131" s="62"/>
      <c r="R131" s="63"/>
      <c r="S131" s="64"/>
    </row>
    <row r="132" spans="2:19" s="59" customFormat="1" x14ac:dyDescent="0.25">
      <c r="B132" s="60"/>
      <c r="D132" s="61"/>
      <c r="E132" s="61"/>
      <c r="H132" s="61"/>
      <c r="I132" s="61"/>
      <c r="Q132" s="62"/>
      <c r="R132" s="63"/>
      <c r="S132" s="64"/>
    </row>
    <row r="133" spans="2:19" s="59" customFormat="1" x14ac:dyDescent="0.25">
      <c r="B133" s="60"/>
      <c r="D133" s="61"/>
      <c r="E133" s="61"/>
      <c r="H133" s="61"/>
      <c r="I133" s="61"/>
      <c r="Q133" s="62"/>
      <c r="R133" s="63"/>
      <c r="S133" s="64"/>
    </row>
    <row r="134" spans="2:19" s="59" customFormat="1" x14ac:dyDescent="0.25">
      <c r="B134" s="60"/>
      <c r="D134" s="61"/>
      <c r="E134" s="61"/>
      <c r="H134" s="61"/>
      <c r="I134" s="61"/>
      <c r="Q134" s="62"/>
      <c r="R134" s="63"/>
      <c r="S134" s="64"/>
    </row>
    <row r="135" spans="2:19" s="59" customFormat="1" x14ac:dyDescent="0.25">
      <c r="B135" s="60"/>
      <c r="D135" s="61"/>
      <c r="E135" s="61"/>
      <c r="H135" s="61"/>
      <c r="I135" s="61"/>
      <c r="Q135" s="62"/>
      <c r="R135" s="63"/>
      <c r="S135" s="64"/>
    </row>
    <row r="136" spans="2:19" s="59" customFormat="1" x14ac:dyDescent="0.25">
      <c r="B136" s="60"/>
      <c r="D136" s="61"/>
      <c r="E136" s="61"/>
      <c r="H136" s="61"/>
      <c r="I136" s="61"/>
      <c r="Q136" s="62"/>
      <c r="R136" s="63"/>
      <c r="S136" s="64"/>
    </row>
    <row r="137" spans="2:19" s="59" customFormat="1" x14ac:dyDescent="0.25">
      <c r="B137" s="60"/>
      <c r="D137" s="61"/>
      <c r="E137" s="61"/>
      <c r="H137" s="61"/>
      <c r="I137" s="61"/>
      <c r="Q137" s="62"/>
      <c r="R137" s="63"/>
      <c r="S137" s="64"/>
    </row>
    <row r="138" spans="2:19" s="59" customFormat="1" x14ac:dyDescent="0.25">
      <c r="B138" s="60"/>
      <c r="D138" s="61"/>
      <c r="E138" s="61"/>
      <c r="H138" s="61"/>
      <c r="I138" s="61"/>
      <c r="Q138" s="62"/>
      <c r="R138" s="63"/>
      <c r="S138" s="64"/>
    </row>
    <row r="139" spans="2:19" s="59" customFormat="1" x14ac:dyDescent="0.25">
      <c r="B139" s="60"/>
      <c r="D139" s="61"/>
      <c r="E139" s="61"/>
      <c r="H139" s="61"/>
      <c r="I139" s="61"/>
      <c r="Q139" s="62"/>
      <c r="R139" s="63"/>
      <c r="S139" s="64"/>
    </row>
    <row r="140" spans="2:19" s="59" customFormat="1" x14ac:dyDescent="0.25">
      <c r="B140" s="60"/>
      <c r="D140" s="61"/>
      <c r="E140" s="61"/>
      <c r="H140" s="61"/>
      <c r="I140" s="61"/>
      <c r="Q140" s="62"/>
      <c r="R140" s="63"/>
      <c r="S140" s="64"/>
    </row>
    <row r="141" spans="2:19" s="59" customFormat="1" x14ac:dyDescent="0.25">
      <c r="B141" s="60"/>
      <c r="D141" s="61"/>
      <c r="E141" s="61"/>
      <c r="H141" s="61"/>
      <c r="I141" s="61"/>
      <c r="Q141" s="62"/>
      <c r="R141" s="63"/>
      <c r="S141" s="64"/>
    </row>
    <row r="142" spans="2:19" s="59" customFormat="1" x14ac:dyDescent="0.25">
      <c r="B142" s="60"/>
      <c r="D142" s="61"/>
      <c r="E142" s="61"/>
      <c r="H142" s="61"/>
      <c r="I142" s="61"/>
      <c r="Q142" s="62"/>
      <c r="R142" s="63"/>
      <c r="S142" s="64"/>
    </row>
    <row r="143" spans="2:19" s="59" customFormat="1" x14ac:dyDescent="0.25">
      <c r="B143" s="60"/>
      <c r="D143" s="61"/>
      <c r="E143" s="61"/>
      <c r="H143" s="61"/>
      <c r="I143" s="61"/>
      <c r="Q143" s="62"/>
      <c r="R143" s="63"/>
      <c r="S143" s="64"/>
    </row>
    <row r="144" spans="2:19" s="59" customFormat="1" x14ac:dyDescent="0.25">
      <c r="B144" s="60"/>
      <c r="D144" s="61"/>
      <c r="E144" s="61"/>
      <c r="H144" s="61"/>
      <c r="I144" s="61"/>
      <c r="Q144" s="62"/>
      <c r="R144" s="63"/>
      <c r="S144" s="64"/>
    </row>
    <row r="145" spans="2:19" s="59" customFormat="1" x14ac:dyDescent="0.25">
      <c r="B145" s="60"/>
      <c r="D145" s="61"/>
      <c r="E145" s="61"/>
      <c r="H145" s="61"/>
      <c r="I145" s="61"/>
      <c r="Q145" s="62"/>
      <c r="R145" s="63"/>
      <c r="S145" s="64"/>
    </row>
    <row r="146" spans="2:19" s="59" customFormat="1" x14ac:dyDescent="0.25">
      <c r="B146" s="60"/>
      <c r="D146" s="61"/>
      <c r="E146" s="61"/>
      <c r="H146" s="61"/>
      <c r="I146" s="61"/>
      <c r="Q146" s="62"/>
      <c r="R146" s="63"/>
      <c r="S146" s="64"/>
    </row>
    <row r="147" spans="2:19" s="59" customFormat="1" x14ac:dyDescent="0.25">
      <c r="B147" s="60"/>
      <c r="D147" s="61"/>
      <c r="E147" s="61"/>
      <c r="H147" s="61"/>
      <c r="I147" s="61"/>
      <c r="Q147" s="62"/>
      <c r="R147" s="63"/>
      <c r="S147" s="64"/>
    </row>
    <row r="148" spans="2:19" s="59" customFormat="1" x14ac:dyDescent="0.25">
      <c r="B148" s="60"/>
      <c r="D148" s="61"/>
      <c r="E148" s="61"/>
      <c r="H148" s="61"/>
      <c r="I148" s="61"/>
      <c r="Q148" s="62"/>
      <c r="R148" s="63"/>
      <c r="S148" s="64"/>
    </row>
    <row r="149" spans="2:19" s="59" customFormat="1" x14ac:dyDescent="0.25">
      <c r="B149" s="60"/>
      <c r="D149" s="61"/>
      <c r="E149" s="61"/>
      <c r="H149" s="61"/>
      <c r="I149" s="61"/>
      <c r="Q149" s="62"/>
      <c r="R149" s="63"/>
      <c r="S149" s="64"/>
    </row>
    <row r="150" spans="2:19" s="59" customFormat="1" x14ac:dyDescent="0.25">
      <c r="B150" s="60"/>
      <c r="D150" s="61"/>
      <c r="E150" s="61"/>
      <c r="H150" s="61"/>
      <c r="I150" s="61"/>
      <c r="Q150" s="62"/>
      <c r="R150" s="63"/>
      <c r="S150" s="64"/>
    </row>
    <row r="151" spans="2:19" s="59" customFormat="1" x14ac:dyDescent="0.25">
      <c r="B151" s="60"/>
      <c r="D151" s="61"/>
      <c r="E151" s="61"/>
      <c r="H151" s="61"/>
      <c r="I151" s="61"/>
      <c r="Q151" s="62"/>
      <c r="R151" s="63"/>
      <c r="S151" s="64"/>
    </row>
    <row r="152" spans="2:19" s="59" customFormat="1" x14ac:dyDescent="0.25">
      <c r="B152" s="60"/>
      <c r="D152" s="61"/>
      <c r="E152" s="61"/>
      <c r="H152" s="61"/>
      <c r="I152" s="61"/>
      <c r="Q152" s="62"/>
      <c r="R152" s="63"/>
      <c r="S152" s="64"/>
    </row>
    <row r="153" spans="2:19" s="59" customFormat="1" x14ac:dyDescent="0.25">
      <c r="B153" s="60"/>
      <c r="D153" s="61"/>
      <c r="E153" s="61"/>
      <c r="H153" s="61"/>
      <c r="I153" s="61"/>
      <c r="Q153" s="62"/>
      <c r="R153" s="63"/>
      <c r="S153" s="64"/>
    </row>
    <row r="154" spans="2:19" s="59" customFormat="1" x14ac:dyDescent="0.25">
      <c r="B154" s="60"/>
      <c r="D154" s="61"/>
      <c r="E154" s="61"/>
      <c r="H154" s="61"/>
      <c r="I154" s="61"/>
      <c r="Q154" s="62"/>
      <c r="R154" s="63"/>
      <c r="S154" s="64"/>
    </row>
    <row r="155" spans="2:19" s="59" customFormat="1" x14ac:dyDescent="0.25">
      <c r="B155" s="60"/>
      <c r="D155" s="61"/>
      <c r="E155" s="61"/>
      <c r="H155" s="61"/>
      <c r="I155" s="61"/>
      <c r="Q155" s="62"/>
      <c r="R155" s="63"/>
      <c r="S155" s="64"/>
    </row>
    <row r="156" spans="2:19" s="59" customFormat="1" x14ac:dyDescent="0.25">
      <c r="B156" s="60"/>
      <c r="D156" s="61"/>
      <c r="E156" s="61"/>
      <c r="H156" s="61"/>
      <c r="I156" s="61"/>
      <c r="Q156" s="62"/>
      <c r="R156" s="63"/>
      <c r="S156" s="64"/>
    </row>
    <row r="157" spans="2:19" s="59" customFormat="1" x14ac:dyDescent="0.25">
      <c r="B157" s="60"/>
      <c r="D157" s="61"/>
      <c r="E157" s="61"/>
      <c r="H157" s="61"/>
      <c r="I157" s="61"/>
      <c r="Q157" s="62"/>
      <c r="R157" s="63"/>
      <c r="S157" s="64"/>
    </row>
    <row r="158" spans="2:19" s="59" customFormat="1" x14ac:dyDescent="0.25">
      <c r="B158" s="60"/>
      <c r="D158" s="61"/>
      <c r="E158" s="61"/>
      <c r="H158" s="61"/>
      <c r="I158" s="61"/>
      <c r="Q158" s="62"/>
      <c r="R158" s="63"/>
      <c r="S158" s="64"/>
    </row>
    <row r="159" spans="2:19" s="59" customFormat="1" x14ac:dyDescent="0.25">
      <c r="B159" s="60"/>
      <c r="D159" s="61"/>
      <c r="E159" s="61"/>
      <c r="H159" s="61"/>
      <c r="I159" s="61"/>
      <c r="Q159" s="62"/>
      <c r="R159" s="63"/>
      <c r="S159" s="64"/>
    </row>
    <row r="160" spans="2:19" s="59" customFormat="1" x14ac:dyDescent="0.25">
      <c r="B160" s="60"/>
      <c r="D160" s="61"/>
      <c r="E160" s="61"/>
      <c r="H160" s="61"/>
      <c r="I160" s="61"/>
      <c r="Q160" s="62"/>
      <c r="R160" s="63"/>
      <c r="S160" s="64"/>
    </row>
    <row r="161" spans="2:19" s="59" customFormat="1" x14ac:dyDescent="0.25">
      <c r="B161" s="60"/>
      <c r="D161" s="61"/>
      <c r="E161" s="61"/>
      <c r="H161" s="61"/>
      <c r="I161" s="61"/>
      <c r="Q161" s="62"/>
      <c r="R161" s="63"/>
      <c r="S161" s="64"/>
    </row>
    <row r="162" spans="2:19" s="59" customFormat="1" x14ac:dyDescent="0.25">
      <c r="B162" s="60"/>
      <c r="D162" s="61"/>
      <c r="E162" s="61"/>
      <c r="H162" s="61"/>
      <c r="I162" s="61"/>
      <c r="Q162" s="62"/>
      <c r="R162" s="63"/>
      <c r="S162" s="64"/>
    </row>
    <row r="163" spans="2:19" s="59" customFormat="1" x14ac:dyDescent="0.25">
      <c r="B163" s="60"/>
      <c r="D163" s="61"/>
      <c r="E163" s="61"/>
      <c r="H163" s="61"/>
      <c r="I163" s="61"/>
      <c r="Q163" s="62"/>
      <c r="R163" s="63"/>
      <c r="S163" s="64"/>
    </row>
    <row r="164" spans="2:19" s="59" customFormat="1" x14ac:dyDescent="0.25">
      <c r="B164" s="60"/>
      <c r="D164" s="61"/>
      <c r="E164" s="61"/>
      <c r="H164" s="61"/>
      <c r="I164" s="61"/>
      <c r="Q164" s="62"/>
      <c r="R164" s="63"/>
      <c r="S164" s="64"/>
    </row>
    <row r="165" spans="2:19" s="59" customFormat="1" x14ac:dyDescent="0.25">
      <c r="B165" s="60"/>
      <c r="D165" s="61"/>
      <c r="E165" s="61"/>
      <c r="H165" s="61"/>
      <c r="I165" s="61"/>
      <c r="Q165" s="62"/>
      <c r="R165" s="63"/>
      <c r="S165" s="64"/>
    </row>
    <row r="166" spans="2:19" s="59" customFormat="1" x14ac:dyDescent="0.25">
      <c r="B166" s="60"/>
      <c r="D166" s="61"/>
      <c r="E166" s="61"/>
      <c r="H166" s="61"/>
      <c r="I166" s="61"/>
      <c r="Q166" s="62"/>
      <c r="R166" s="63"/>
      <c r="S166" s="64"/>
    </row>
    <row r="167" spans="2:19" s="59" customFormat="1" x14ac:dyDescent="0.25">
      <c r="B167" s="60"/>
      <c r="D167" s="61"/>
      <c r="E167" s="61"/>
      <c r="H167" s="61"/>
      <c r="I167" s="61"/>
      <c r="Q167" s="62"/>
      <c r="R167" s="63"/>
      <c r="S167" s="64"/>
    </row>
    <row r="168" spans="2:19" s="59" customFormat="1" x14ac:dyDescent="0.25">
      <c r="B168" s="60"/>
      <c r="D168" s="61"/>
      <c r="E168" s="61"/>
      <c r="H168" s="61"/>
      <c r="I168" s="61"/>
      <c r="Q168" s="62"/>
      <c r="R168" s="63"/>
      <c r="S168" s="64"/>
    </row>
    <row r="169" spans="2:19" s="59" customFormat="1" x14ac:dyDescent="0.25">
      <c r="B169" s="60"/>
      <c r="D169" s="61"/>
      <c r="E169" s="61"/>
      <c r="H169" s="61"/>
      <c r="I169" s="61"/>
      <c r="Q169" s="62"/>
      <c r="R169" s="63"/>
      <c r="S169" s="64"/>
    </row>
    <row r="170" spans="2:19" s="59" customFormat="1" x14ac:dyDescent="0.25">
      <c r="B170" s="60"/>
      <c r="D170" s="61"/>
      <c r="E170" s="61"/>
      <c r="H170" s="61"/>
      <c r="I170" s="61"/>
      <c r="Q170" s="62"/>
      <c r="R170" s="63"/>
      <c r="S170" s="64"/>
    </row>
    <row r="171" spans="2:19" s="59" customFormat="1" x14ac:dyDescent="0.25">
      <c r="B171" s="60"/>
      <c r="D171" s="61"/>
      <c r="E171" s="61"/>
      <c r="H171" s="61"/>
      <c r="I171" s="61"/>
      <c r="Q171" s="62"/>
      <c r="R171" s="63"/>
      <c r="S171" s="64"/>
    </row>
    <row r="172" spans="2:19" s="59" customFormat="1" x14ac:dyDescent="0.25">
      <c r="B172" s="60"/>
      <c r="D172" s="61"/>
      <c r="E172" s="61"/>
      <c r="H172" s="61"/>
      <c r="I172" s="61"/>
      <c r="Q172" s="62"/>
      <c r="R172" s="63"/>
      <c r="S172" s="64"/>
    </row>
    <row r="173" spans="2:19" s="59" customFormat="1" x14ac:dyDescent="0.25">
      <c r="B173" s="60"/>
      <c r="D173" s="61"/>
      <c r="E173" s="61"/>
      <c r="H173" s="61"/>
      <c r="I173" s="61"/>
      <c r="Q173" s="62"/>
      <c r="R173" s="63"/>
      <c r="S173" s="64"/>
    </row>
    <row r="174" spans="2:19" s="59" customFormat="1" x14ac:dyDescent="0.25">
      <c r="B174" s="60"/>
      <c r="D174" s="61"/>
      <c r="E174" s="61"/>
      <c r="H174" s="61"/>
      <c r="I174" s="61"/>
      <c r="Q174" s="62"/>
      <c r="R174" s="63"/>
      <c r="S174" s="64"/>
    </row>
    <row r="175" spans="2:19" s="59" customFormat="1" x14ac:dyDescent="0.25">
      <c r="B175" s="60"/>
      <c r="D175" s="61"/>
      <c r="E175" s="61"/>
      <c r="H175" s="61"/>
      <c r="I175" s="61"/>
      <c r="Q175" s="62"/>
      <c r="R175" s="63"/>
      <c r="S175" s="64"/>
    </row>
    <row r="176" spans="2:19" s="59" customFormat="1" x14ac:dyDescent="0.25">
      <c r="B176" s="60"/>
      <c r="D176" s="61"/>
      <c r="E176" s="61"/>
      <c r="H176" s="61"/>
      <c r="I176" s="61"/>
      <c r="Q176" s="62"/>
      <c r="R176" s="63"/>
      <c r="S176" s="64"/>
    </row>
    <row r="177" spans="2:19" s="59" customFormat="1" x14ac:dyDescent="0.25">
      <c r="B177" s="60"/>
      <c r="D177" s="61"/>
      <c r="E177" s="61"/>
      <c r="H177" s="61"/>
      <c r="I177" s="61"/>
      <c r="Q177" s="62"/>
      <c r="R177" s="63"/>
      <c r="S177" s="64"/>
    </row>
    <row r="178" spans="2:19" s="59" customFormat="1" x14ac:dyDescent="0.25">
      <c r="B178" s="60"/>
      <c r="D178" s="61"/>
      <c r="E178" s="61"/>
      <c r="H178" s="61"/>
      <c r="I178" s="61"/>
      <c r="Q178" s="62"/>
      <c r="R178" s="63"/>
      <c r="S178" s="64"/>
    </row>
    <row r="179" spans="2:19" s="59" customFormat="1" x14ac:dyDescent="0.25">
      <c r="B179" s="60"/>
      <c r="D179" s="61"/>
      <c r="E179" s="61"/>
      <c r="H179" s="61"/>
      <c r="I179" s="61"/>
      <c r="Q179" s="62"/>
      <c r="R179" s="63"/>
      <c r="S179" s="64"/>
    </row>
    <row r="180" spans="2:19" s="59" customFormat="1" x14ac:dyDescent="0.25">
      <c r="B180" s="60"/>
      <c r="D180" s="61"/>
      <c r="E180" s="61"/>
      <c r="H180" s="61"/>
      <c r="I180" s="61"/>
      <c r="Q180" s="62"/>
      <c r="R180" s="63"/>
      <c r="S180" s="64"/>
    </row>
    <row r="181" spans="2:19" s="59" customFormat="1" x14ac:dyDescent="0.25">
      <c r="B181" s="60"/>
      <c r="D181" s="61"/>
      <c r="E181" s="61"/>
      <c r="H181" s="61"/>
      <c r="I181" s="61"/>
      <c r="Q181" s="62"/>
      <c r="R181" s="63"/>
      <c r="S181" s="64"/>
    </row>
    <row r="182" spans="2:19" s="59" customFormat="1" x14ac:dyDescent="0.25">
      <c r="B182" s="60"/>
      <c r="D182" s="61"/>
      <c r="E182" s="61"/>
      <c r="H182" s="61"/>
      <c r="I182" s="61"/>
      <c r="Q182" s="62"/>
      <c r="R182" s="63"/>
      <c r="S182" s="64"/>
    </row>
    <row r="183" spans="2:19" s="59" customFormat="1" x14ac:dyDescent="0.25">
      <c r="B183" s="60"/>
      <c r="D183" s="61"/>
      <c r="E183" s="61"/>
      <c r="H183" s="61"/>
      <c r="I183" s="61"/>
      <c r="Q183" s="62"/>
      <c r="R183" s="63"/>
      <c r="S183" s="64"/>
    </row>
    <row r="184" spans="2:19" s="59" customFormat="1" x14ac:dyDescent="0.25">
      <c r="B184" s="60"/>
      <c r="D184" s="61"/>
      <c r="E184" s="61"/>
      <c r="H184" s="61"/>
      <c r="I184" s="61"/>
      <c r="Q184" s="62"/>
      <c r="R184" s="63"/>
      <c r="S184" s="64"/>
    </row>
    <row r="185" spans="2:19" s="59" customFormat="1" x14ac:dyDescent="0.25">
      <c r="B185" s="60"/>
      <c r="D185" s="61"/>
      <c r="E185" s="61"/>
      <c r="H185" s="61"/>
      <c r="I185" s="61"/>
      <c r="Q185" s="62"/>
      <c r="R185" s="63"/>
      <c r="S185" s="64"/>
    </row>
    <row r="186" spans="2:19" s="59" customFormat="1" x14ac:dyDescent="0.25">
      <c r="B186" s="60"/>
      <c r="D186" s="61"/>
      <c r="E186" s="61"/>
      <c r="H186" s="61"/>
      <c r="I186" s="61"/>
      <c r="Q186" s="62"/>
      <c r="R186" s="63"/>
      <c r="S186" s="64"/>
    </row>
    <row r="187" spans="2:19" s="59" customFormat="1" x14ac:dyDescent="0.25">
      <c r="B187" s="60"/>
      <c r="D187" s="61"/>
      <c r="E187" s="61"/>
      <c r="H187" s="61"/>
      <c r="I187" s="61"/>
      <c r="Q187" s="62"/>
      <c r="R187" s="63"/>
      <c r="S187" s="64"/>
    </row>
    <row r="188" spans="2:19" s="59" customFormat="1" x14ac:dyDescent="0.25">
      <c r="B188" s="60"/>
      <c r="D188" s="61"/>
      <c r="E188" s="61"/>
      <c r="H188" s="61"/>
      <c r="I188" s="61"/>
      <c r="Q188" s="62"/>
      <c r="R188" s="63"/>
      <c r="S188" s="64"/>
    </row>
    <row r="189" spans="2:19" s="59" customFormat="1" x14ac:dyDescent="0.25">
      <c r="B189" s="60"/>
      <c r="D189" s="61"/>
      <c r="E189" s="61"/>
      <c r="H189" s="61"/>
      <c r="I189" s="61"/>
      <c r="Q189" s="62"/>
      <c r="R189" s="63"/>
      <c r="S189" s="64"/>
    </row>
    <row r="190" spans="2:19" s="59" customFormat="1" x14ac:dyDescent="0.25">
      <c r="B190" s="60"/>
      <c r="D190" s="61"/>
      <c r="E190" s="61"/>
      <c r="H190" s="61"/>
      <c r="I190" s="61"/>
      <c r="Q190" s="62"/>
      <c r="R190" s="63"/>
      <c r="S190" s="64"/>
    </row>
    <row r="191" spans="2:19" s="59" customFormat="1" x14ac:dyDescent="0.25">
      <c r="B191" s="60"/>
      <c r="D191" s="61"/>
      <c r="E191" s="61"/>
      <c r="H191" s="61"/>
      <c r="I191" s="61"/>
      <c r="Q191" s="62"/>
      <c r="R191" s="63"/>
      <c r="S191" s="64"/>
    </row>
    <row r="192" spans="2:19" s="59" customFormat="1" x14ac:dyDescent="0.25">
      <c r="B192" s="60"/>
      <c r="D192" s="61"/>
      <c r="E192" s="61"/>
      <c r="H192" s="61"/>
      <c r="I192" s="61"/>
      <c r="Q192" s="62"/>
      <c r="R192" s="63"/>
      <c r="S192" s="64"/>
    </row>
    <row r="193" spans="2:19" s="59" customFormat="1" x14ac:dyDescent="0.25">
      <c r="B193" s="60"/>
      <c r="D193" s="61"/>
      <c r="E193" s="61"/>
      <c r="H193" s="61"/>
      <c r="I193" s="61"/>
      <c r="Q193" s="62"/>
      <c r="R193" s="63"/>
      <c r="S193" s="64"/>
    </row>
    <row r="194" spans="2:19" s="59" customFormat="1" x14ac:dyDescent="0.25">
      <c r="B194" s="60"/>
      <c r="D194" s="61"/>
      <c r="E194" s="61"/>
      <c r="H194" s="61"/>
      <c r="I194" s="61"/>
      <c r="Q194" s="62"/>
      <c r="R194" s="63"/>
      <c r="S194" s="64"/>
    </row>
    <row r="195" spans="2:19" s="59" customFormat="1" x14ac:dyDescent="0.25">
      <c r="B195" s="60"/>
      <c r="D195" s="61"/>
      <c r="E195" s="61"/>
      <c r="H195" s="61"/>
      <c r="I195" s="61"/>
      <c r="Q195" s="62"/>
      <c r="R195" s="63"/>
      <c r="S195" s="64"/>
    </row>
    <row r="196" spans="2:19" s="59" customFormat="1" x14ac:dyDescent="0.25">
      <c r="B196" s="60"/>
      <c r="D196" s="61"/>
      <c r="E196" s="61"/>
      <c r="H196" s="61"/>
      <c r="I196" s="61"/>
      <c r="Q196" s="62"/>
      <c r="R196" s="63"/>
      <c r="S196" s="64"/>
    </row>
    <row r="197" spans="2:19" s="59" customFormat="1" x14ac:dyDescent="0.25">
      <c r="B197" s="60"/>
      <c r="D197" s="61"/>
      <c r="E197" s="61"/>
      <c r="H197" s="61"/>
      <c r="I197" s="61"/>
      <c r="Q197" s="62"/>
      <c r="R197" s="63"/>
      <c r="S197" s="64"/>
    </row>
    <row r="198" spans="2:19" s="59" customFormat="1" x14ac:dyDescent="0.25">
      <c r="B198" s="60"/>
      <c r="D198" s="61"/>
      <c r="E198" s="61"/>
      <c r="H198" s="61"/>
      <c r="I198" s="61"/>
      <c r="Q198" s="62"/>
      <c r="R198" s="63"/>
      <c r="S198" s="64"/>
    </row>
    <row r="199" spans="2:19" s="59" customFormat="1" x14ac:dyDescent="0.25">
      <c r="B199" s="60"/>
      <c r="D199" s="61"/>
      <c r="E199" s="61"/>
      <c r="H199" s="61"/>
      <c r="I199" s="61"/>
      <c r="Q199" s="62"/>
      <c r="R199" s="63"/>
      <c r="S199" s="64"/>
    </row>
    <row r="200" spans="2:19" s="59" customFormat="1" x14ac:dyDescent="0.25">
      <c r="B200" s="60"/>
      <c r="D200" s="61"/>
      <c r="E200" s="61"/>
      <c r="H200" s="61"/>
      <c r="I200" s="61"/>
      <c r="Q200" s="62"/>
      <c r="R200" s="63"/>
      <c r="S200" s="64"/>
    </row>
    <row r="201" spans="2:19" s="59" customFormat="1" x14ac:dyDescent="0.25">
      <c r="B201" s="60"/>
      <c r="D201" s="61"/>
      <c r="E201" s="61"/>
      <c r="H201" s="61"/>
      <c r="I201" s="61"/>
      <c r="Q201" s="62"/>
      <c r="R201" s="63"/>
      <c r="S201" s="64"/>
    </row>
    <row r="202" spans="2:19" s="59" customFormat="1" x14ac:dyDescent="0.25">
      <c r="B202" s="60"/>
      <c r="D202" s="61"/>
      <c r="E202" s="61"/>
      <c r="H202" s="61"/>
      <c r="I202" s="61"/>
      <c r="Q202" s="62"/>
      <c r="R202" s="63"/>
      <c r="S202" s="64"/>
    </row>
    <row r="203" spans="2:19" s="59" customFormat="1" x14ac:dyDescent="0.25">
      <c r="B203" s="60"/>
      <c r="D203" s="61"/>
      <c r="E203" s="61"/>
      <c r="H203" s="61"/>
      <c r="I203" s="61"/>
      <c r="Q203" s="62"/>
      <c r="R203" s="63"/>
      <c r="S203" s="64"/>
    </row>
    <row r="204" spans="2:19" s="59" customFormat="1" x14ac:dyDescent="0.25">
      <c r="B204" s="60"/>
      <c r="D204" s="61"/>
      <c r="E204" s="61"/>
      <c r="H204" s="61"/>
      <c r="I204" s="61"/>
      <c r="Q204" s="62"/>
      <c r="R204" s="63"/>
      <c r="S204" s="64"/>
    </row>
    <row r="205" spans="2:19" s="59" customFormat="1" x14ac:dyDescent="0.25">
      <c r="B205" s="60"/>
      <c r="D205" s="61"/>
      <c r="E205" s="61"/>
      <c r="H205" s="61"/>
      <c r="I205" s="61"/>
      <c r="Q205" s="62"/>
      <c r="R205" s="63"/>
      <c r="S205" s="64"/>
    </row>
    <row r="206" spans="2:19" s="59" customFormat="1" x14ac:dyDescent="0.25">
      <c r="B206" s="60"/>
      <c r="D206" s="61"/>
      <c r="E206" s="61"/>
      <c r="H206" s="61"/>
      <c r="I206" s="61"/>
      <c r="Q206" s="62"/>
      <c r="R206" s="63"/>
      <c r="S206" s="64"/>
    </row>
    <row r="207" spans="2:19" s="59" customFormat="1" x14ac:dyDescent="0.25">
      <c r="B207" s="60"/>
      <c r="D207" s="61"/>
      <c r="E207" s="61"/>
      <c r="H207" s="61"/>
      <c r="I207" s="61"/>
      <c r="Q207" s="62"/>
      <c r="R207" s="63"/>
      <c r="S207" s="64"/>
    </row>
    <row r="208" spans="2:19" s="59" customFormat="1" x14ac:dyDescent="0.25">
      <c r="B208" s="60"/>
      <c r="D208" s="61"/>
      <c r="E208" s="61"/>
      <c r="H208" s="61"/>
      <c r="I208" s="61"/>
      <c r="Q208" s="62"/>
      <c r="R208" s="63"/>
      <c r="S208" s="64"/>
    </row>
    <row r="209" spans="2:19" s="59" customFormat="1" x14ac:dyDescent="0.25">
      <c r="B209" s="60"/>
      <c r="D209" s="61"/>
      <c r="E209" s="61"/>
      <c r="H209" s="61"/>
      <c r="I209" s="61"/>
      <c r="Q209" s="62"/>
      <c r="R209" s="63"/>
      <c r="S209" s="64"/>
    </row>
    <row r="210" spans="2:19" s="59" customFormat="1" x14ac:dyDescent="0.25">
      <c r="B210" s="60"/>
      <c r="D210" s="61"/>
      <c r="E210" s="61"/>
      <c r="H210" s="61"/>
      <c r="I210" s="61"/>
      <c r="Q210" s="62"/>
      <c r="R210" s="63"/>
      <c r="S210" s="64"/>
    </row>
    <row r="211" spans="2:19" s="59" customFormat="1" x14ac:dyDescent="0.25">
      <c r="B211" s="60"/>
      <c r="D211" s="61"/>
      <c r="E211" s="61"/>
      <c r="H211" s="61"/>
      <c r="I211" s="61"/>
      <c r="Q211" s="62"/>
      <c r="R211" s="63"/>
      <c r="S211" s="64"/>
    </row>
    <row r="212" spans="2:19" s="59" customFormat="1" x14ac:dyDescent="0.25">
      <c r="B212" s="60"/>
      <c r="D212" s="61"/>
      <c r="E212" s="61"/>
      <c r="H212" s="61"/>
      <c r="I212" s="61"/>
      <c r="Q212" s="62"/>
      <c r="R212" s="63"/>
      <c r="S212" s="64"/>
    </row>
    <row r="213" spans="2:19" s="59" customFormat="1" x14ac:dyDescent="0.25">
      <c r="B213" s="60"/>
      <c r="D213" s="61"/>
      <c r="E213" s="61"/>
      <c r="H213" s="61"/>
      <c r="I213" s="61"/>
      <c r="Q213" s="62"/>
      <c r="R213" s="63"/>
      <c r="S213" s="64"/>
    </row>
    <row r="214" spans="2:19" s="59" customFormat="1" x14ac:dyDescent="0.25">
      <c r="B214" s="60"/>
      <c r="D214" s="61"/>
      <c r="E214" s="61"/>
      <c r="H214" s="61"/>
      <c r="I214" s="61"/>
      <c r="Q214" s="62"/>
      <c r="R214" s="63"/>
      <c r="S214" s="64"/>
    </row>
    <row r="215" spans="2:19" s="59" customFormat="1" x14ac:dyDescent="0.25">
      <c r="B215" s="60"/>
      <c r="D215" s="61"/>
      <c r="E215" s="61"/>
      <c r="H215" s="61"/>
      <c r="I215" s="61"/>
      <c r="Q215" s="62"/>
      <c r="R215" s="63"/>
      <c r="S215" s="64"/>
    </row>
    <row r="216" spans="2:19" s="59" customFormat="1" x14ac:dyDescent="0.25">
      <c r="B216" s="60"/>
      <c r="D216" s="61"/>
      <c r="E216" s="61"/>
      <c r="H216" s="61"/>
      <c r="I216" s="61"/>
      <c r="Q216" s="62"/>
      <c r="R216" s="63"/>
      <c r="S216" s="64"/>
    </row>
    <row r="217" spans="2:19" s="59" customFormat="1" x14ac:dyDescent="0.25">
      <c r="B217" s="60"/>
      <c r="D217" s="61"/>
      <c r="E217" s="61"/>
      <c r="H217" s="61"/>
      <c r="I217" s="61"/>
      <c r="Q217" s="62"/>
      <c r="R217" s="63"/>
      <c r="S217" s="64"/>
    </row>
    <row r="218" spans="2:19" s="59" customFormat="1" x14ac:dyDescent="0.25">
      <c r="B218" s="60"/>
      <c r="D218" s="61"/>
      <c r="E218" s="61"/>
      <c r="H218" s="61"/>
      <c r="I218" s="61"/>
      <c r="Q218" s="62"/>
      <c r="R218" s="63"/>
      <c r="S218" s="64"/>
    </row>
    <row r="219" spans="2:19" s="59" customFormat="1" x14ac:dyDescent="0.25">
      <c r="B219" s="60"/>
      <c r="D219" s="61"/>
      <c r="E219" s="61"/>
      <c r="H219" s="61"/>
      <c r="I219" s="61"/>
      <c r="Q219" s="62"/>
      <c r="R219" s="63"/>
      <c r="S219" s="64"/>
    </row>
    <row r="220" spans="2:19" s="59" customFormat="1" x14ac:dyDescent="0.25">
      <c r="B220" s="60"/>
      <c r="D220" s="61"/>
      <c r="E220" s="61"/>
      <c r="H220" s="61"/>
      <c r="I220" s="61"/>
      <c r="Q220" s="62"/>
      <c r="R220" s="63"/>
      <c r="S220" s="64"/>
    </row>
    <row r="221" spans="2:19" s="59" customFormat="1" x14ac:dyDescent="0.25">
      <c r="B221" s="60"/>
      <c r="D221" s="61"/>
      <c r="E221" s="61"/>
      <c r="H221" s="61"/>
      <c r="I221" s="61"/>
      <c r="Q221" s="62"/>
      <c r="R221" s="63"/>
      <c r="S221" s="64"/>
    </row>
    <row r="222" spans="2:19" s="59" customFormat="1" x14ac:dyDescent="0.25">
      <c r="B222" s="60"/>
      <c r="D222" s="61"/>
      <c r="E222" s="61"/>
      <c r="H222" s="61"/>
      <c r="I222" s="61"/>
      <c r="Q222" s="62"/>
      <c r="R222" s="63"/>
      <c r="S222" s="64"/>
    </row>
    <row r="223" spans="2:19" s="59" customFormat="1" x14ac:dyDescent="0.25">
      <c r="B223" s="60"/>
      <c r="D223" s="61"/>
      <c r="E223" s="61"/>
      <c r="H223" s="61"/>
      <c r="I223" s="61"/>
      <c r="Q223" s="62"/>
      <c r="R223" s="63"/>
      <c r="S223" s="64"/>
    </row>
    <row r="224" spans="2:19" s="59" customFormat="1" x14ac:dyDescent="0.25">
      <c r="B224" s="60"/>
      <c r="D224" s="61"/>
      <c r="E224" s="61"/>
      <c r="H224" s="61"/>
      <c r="I224" s="61"/>
      <c r="Q224" s="62"/>
      <c r="R224" s="63"/>
      <c r="S224" s="64"/>
    </row>
    <row r="225" spans="2:19" s="59" customFormat="1" x14ac:dyDescent="0.25">
      <c r="B225" s="60"/>
      <c r="D225" s="61"/>
      <c r="E225" s="61"/>
      <c r="H225" s="61"/>
      <c r="I225" s="61"/>
      <c r="Q225" s="62"/>
      <c r="R225" s="63"/>
      <c r="S225" s="64"/>
    </row>
    <row r="226" spans="2:19" s="59" customFormat="1" x14ac:dyDescent="0.25">
      <c r="B226" s="60"/>
      <c r="D226" s="61"/>
      <c r="E226" s="61"/>
      <c r="H226" s="61"/>
      <c r="I226" s="61"/>
      <c r="Q226" s="62"/>
      <c r="R226" s="63"/>
      <c r="S226" s="64"/>
    </row>
    <row r="227" spans="2:19" s="59" customFormat="1" x14ac:dyDescent="0.25">
      <c r="B227" s="60"/>
      <c r="D227" s="61"/>
      <c r="E227" s="61"/>
      <c r="H227" s="61"/>
      <c r="I227" s="61"/>
      <c r="Q227" s="62"/>
      <c r="R227" s="63"/>
      <c r="S227" s="64"/>
    </row>
    <row r="228" spans="2:19" s="59" customFormat="1" x14ac:dyDescent="0.25">
      <c r="B228" s="60"/>
      <c r="D228" s="61"/>
      <c r="E228" s="61"/>
      <c r="H228" s="61"/>
      <c r="I228" s="61"/>
      <c r="Q228" s="62"/>
      <c r="R228" s="63"/>
      <c r="S228" s="64"/>
    </row>
    <row r="229" spans="2:19" s="59" customFormat="1" x14ac:dyDescent="0.25">
      <c r="B229" s="60"/>
      <c r="D229" s="61"/>
      <c r="E229" s="61"/>
      <c r="H229" s="61"/>
      <c r="I229" s="61"/>
      <c r="Q229" s="62"/>
      <c r="R229" s="63"/>
      <c r="S229" s="64"/>
    </row>
    <row r="230" spans="2:19" s="59" customFormat="1" x14ac:dyDescent="0.25">
      <c r="B230" s="60"/>
      <c r="D230" s="61"/>
      <c r="E230" s="61"/>
      <c r="H230" s="61"/>
      <c r="I230" s="61"/>
      <c r="Q230" s="62"/>
      <c r="R230" s="63"/>
      <c r="S230" s="64"/>
    </row>
    <row r="231" spans="2:19" s="59" customFormat="1" x14ac:dyDescent="0.25">
      <c r="B231" s="60"/>
      <c r="D231" s="61"/>
      <c r="E231" s="61"/>
      <c r="H231" s="61"/>
      <c r="I231" s="61"/>
      <c r="Q231" s="62"/>
      <c r="R231" s="63"/>
      <c r="S231" s="64"/>
    </row>
    <row r="232" spans="2:19" s="59" customFormat="1" x14ac:dyDescent="0.25">
      <c r="B232" s="60"/>
      <c r="D232" s="61"/>
      <c r="E232" s="61"/>
      <c r="H232" s="61"/>
      <c r="I232" s="61"/>
      <c r="Q232" s="62"/>
      <c r="R232" s="63"/>
      <c r="S232" s="64"/>
    </row>
    <row r="233" spans="2:19" s="59" customFormat="1" x14ac:dyDescent="0.25">
      <c r="B233" s="60"/>
      <c r="D233" s="61"/>
      <c r="E233" s="61"/>
      <c r="H233" s="61"/>
      <c r="I233" s="61"/>
      <c r="Q233" s="62"/>
      <c r="R233" s="63"/>
      <c r="S233" s="64"/>
    </row>
    <row r="234" spans="2:19" s="59" customFormat="1" x14ac:dyDescent="0.25">
      <c r="B234" s="60"/>
      <c r="D234" s="61"/>
      <c r="E234" s="61"/>
      <c r="H234" s="61"/>
      <c r="I234" s="61"/>
      <c r="Q234" s="62"/>
      <c r="R234" s="63"/>
      <c r="S234" s="64"/>
    </row>
    <row r="235" spans="2:19" s="59" customFormat="1" x14ac:dyDescent="0.25">
      <c r="B235" s="60"/>
      <c r="D235" s="61"/>
      <c r="E235" s="61"/>
      <c r="H235" s="61"/>
      <c r="I235" s="61"/>
      <c r="Q235" s="62"/>
      <c r="R235" s="63"/>
      <c r="S235" s="64"/>
    </row>
    <row r="236" spans="2:19" s="59" customFormat="1" x14ac:dyDescent="0.25">
      <c r="B236" s="60"/>
      <c r="D236" s="61"/>
      <c r="E236" s="61"/>
      <c r="H236" s="61"/>
      <c r="I236" s="61"/>
      <c r="Q236" s="62"/>
      <c r="R236" s="63"/>
      <c r="S236" s="64"/>
    </row>
    <row r="237" spans="2:19" s="59" customFormat="1" x14ac:dyDescent="0.25">
      <c r="B237" s="60"/>
      <c r="D237" s="61"/>
      <c r="E237" s="61"/>
      <c r="H237" s="61"/>
      <c r="I237" s="61"/>
      <c r="Q237" s="62"/>
      <c r="R237" s="63"/>
      <c r="S237" s="64"/>
    </row>
    <row r="238" spans="2:19" s="59" customFormat="1" x14ac:dyDescent="0.25">
      <c r="B238" s="60"/>
      <c r="D238" s="61"/>
      <c r="E238" s="61"/>
      <c r="H238" s="61"/>
      <c r="I238" s="61"/>
      <c r="Q238" s="62"/>
      <c r="R238" s="63"/>
      <c r="S238" s="64"/>
    </row>
    <row r="239" spans="2:19" s="59" customFormat="1" x14ac:dyDescent="0.25">
      <c r="B239" s="60"/>
      <c r="D239" s="61"/>
      <c r="E239" s="61"/>
      <c r="H239" s="61"/>
      <c r="I239" s="61"/>
      <c r="Q239" s="62"/>
      <c r="R239" s="63"/>
      <c r="S239" s="64"/>
    </row>
    <row r="240" spans="2:19" s="59" customFormat="1" x14ac:dyDescent="0.25">
      <c r="B240" s="60"/>
      <c r="D240" s="61"/>
      <c r="E240" s="61"/>
      <c r="H240" s="61"/>
      <c r="I240" s="61"/>
      <c r="Q240" s="62"/>
      <c r="R240" s="63"/>
      <c r="S240" s="64"/>
    </row>
    <row r="241" spans="2:19" s="59" customFormat="1" x14ac:dyDescent="0.25">
      <c r="B241" s="60"/>
      <c r="D241" s="61"/>
      <c r="E241" s="61"/>
      <c r="H241" s="61"/>
      <c r="I241" s="61"/>
      <c r="Q241" s="62"/>
      <c r="R241" s="63"/>
      <c r="S241" s="64"/>
    </row>
    <row r="242" spans="2:19" s="59" customFormat="1" x14ac:dyDescent="0.25">
      <c r="B242" s="60"/>
      <c r="D242" s="61"/>
      <c r="E242" s="61"/>
      <c r="H242" s="61"/>
      <c r="I242" s="61"/>
      <c r="Q242" s="62"/>
      <c r="R242" s="63"/>
      <c r="S242" s="64"/>
    </row>
    <row r="243" spans="2:19" s="59" customFormat="1" x14ac:dyDescent="0.25">
      <c r="B243" s="60"/>
      <c r="D243" s="61"/>
      <c r="E243" s="61"/>
      <c r="H243" s="61"/>
      <c r="I243" s="61"/>
      <c r="Q243" s="62"/>
      <c r="R243" s="63"/>
      <c r="S243" s="64"/>
    </row>
    <row r="244" spans="2:19" s="59" customFormat="1" x14ac:dyDescent="0.25">
      <c r="B244" s="60"/>
      <c r="D244" s="61"/>
      <c r="E244" s="61"/>
      <c r="H244" s="61"/>
      <c r="I244" s="61"/>
      <c r="Q244" s="62"/>
      <c r="R244" s="63"/>
      <c r="S244" s="64"/>
    </row>
    <row r="245" spans="2:19" s="59" customFormat="1" x14ac:dyDescent="0.25">
      <c r="B245" s="60"/>
      <c r="D245" s="61"/>
      <c r="E245" s="61"/>
      <c r="H245" s="61"/>
      <c r="I245" s="61"/>
      <c r="Q245" s="62"/>
      <c r="R245" s="63"/>
      <c r="S245" s="64"/>
    </row>
    <row r="246" spans="2:19" s="59" customFormat="1" x14ac:dyDescent="0.25">
      <c r="B246" s="60"/>
      <c r="D246" s="61"/>
      <c r="E246" s="61"/>
      <c r="H246" s="61"/>
      <c r="I246" s="61"/>
      <c r="Q246" s="62"/>
      <c r="R246" s="63"/>
      <c r="S246" s="64"/>
    </row>
    <row r="247" spans="2:19" s="59" customFormat="1" x14ac:dyDescent="0.25">
      <c r="B247" s="60"/>
      <c r="D247" s="61"/>
      <c r="E247" s="61"/>
      <c r="H247" s="61"/>
      <c r="I247" s="61"/>
      <c r="Q247" s="62"/>
      <c r="R247" s="63"/>
      <c r="S247" s="64"/>
    </row>
    <row r="248" spans="2:19" s="59" customFormat="1" x14ac:dyDescent="0.25">
      <c r="B248" s="60"/>
      <c r="D248" s="61"/>
      <c r="E248" s="61"/>
      <c r="H248" s="61"/>
      <c r="I248" s="61"/>
      <c r="Q248" s="62"/>
      <c r="R248" s="63"/>
      <c r="S248" s="64"/>
    </row>
    <row r="249" spans="2:19" s="59" customFormat="1" x14ac:dyDescent="0.25">
      <c r="B249" s="60"/>
      <c r="D249" s="61"/>
      <c r="E249" s="61"/>
      <c r="H249" s="61"/>
      <c r="I249" s="61"/>
      <c r="Q249" s="62"/>
      <c r="R249" s="63"/>
      <c r="S249" s="64"/>
    </row>
    <row r="250" spans="2:19" s="59" customFormat="1" x14ac:dyDescent="0.25">
      <c r="B250" s="60"/>
      <c r="D250" s="61"/>
      <c r="E250" s="61"/>
      <c r="H250" s="61"/>
      <c r="I250" s="61"/>
      <c r="Q250" s="62"/>
      <c r="R250" s="63"/>
      <c r="S250" s="64"/>
    </row>
    <row r="251" spans="2:19" s="59" customFormat="1" x14ac:dyDescent="0.25">
      <c r="B251" s="60"/>
      <c r="D251" s="61"/>
      <c r="E251" s="61"/>
      <c r="H251" s="61"/>
      <c r="I251" s="61"/>
      <c r="Q251" s="62"/>
      <c r="R251" s="63"/>
      <c r="S251" s="64"/>
    </row>
    <row r="252" spans="2:19" s="59" customFormat="1" x14ac:dyDescent="0.25">
      <c r="B252" s="60"/>
      <c r="D252" s="61"/>
      <c r="E252" s="61"/>
      <c r="H252" s="61"/>
      <c r="I252" s="61"/>
      <c r="Q252" s="62"/>
      <c r="R252" s="63"/>
      <c r="S252" s="64"/>
    </row>
    <row r="253" spans="2:19" s="59" customFormat="1" x14ac:dyDescent="0.25">
      <c r="B253" s="60"/>
      <c r="D253" s="61"/>
      <c r="E253" s="61"/>
      <c r="H253" s="61"/>
      <c r="I253" s="61"/>
      <c r="Q253" s="62"/>
      <c r="R253" s="63"/>
      <c r="S253" s="64"/>
    </row>
    <row r="254" spans="2:19" s="59" customFormat="1" x14ac:dyDescent="0.25">
      <c r="B254" s="60"/>
      <c r="D254" s="61"/>
      <c r="E254" s="61"/>
      <c r="H254" s="61"/>
      <c r="I254" s="61"/>
      <c r="Q254" s="62"/>
      <c r="R254" s="63"/>
      <c r="S254" s="64"/>
    </row>
    <row r="255" spans="2:19" s="59" customFormat="1" x14ac:dyDescent="0.25">
      <c r="B255" s="60"/>
      <c r="D255" s="61"/>
      <c r="E255" s="61"/>
      <c r="H255" s="61"/>
      <c r="I255" s="61"/>
      <c r="Q255" s="62"/>
      <c r="R255" s="63"/>
      <c r="S255" s="64"/>
    </row>
    <row r="256" spans="2:19" s="59" customFormat="1" x14ac:dyDescent="0.25">
      <c r="B256" s="60"/>
      <c r="D256" s="61"/>
      <c r="E256" s="61"/>
      <c r="H256" s="61"/>
      <c r="I256" s="61"/>
      <c r="Q256" s="62"/>
      <c r="R256" s="63"/>
      <c r="S256" s="64"/>
    </row>
    <row r="257" spans="2:19" s="59" customFormat="1" x14ac:dyDescent="0.25">
      <c r="B257" s="60"/>
      <c r="D257" s="61"/>
      <c r="E257" s="61"/>
      <c r="H257" s="61"/>
      <c r="I257" s="61"/>
      <c r="Q257" s="62"/>
      <c r="R257" s="63"/>
      <c r="S257" s="64"/>
    </row>
    <row r="258" spans="2:19" s="59" customFormat="1" x14ac:dyDescent="0.25">
      <c r="B258" s="60"/>
      <c r="D258" s="61"/>
      <c r="E258" s="61"/>
      <c r="H258" s="61"/>
      <c r="I258" s="61"/>
      <c r="Q258" s="62"/>
      <c r="R258" s="63"/>
      <c r="S258" s="64"/>
    </row>
    <row r="259" spans="2:19" s="59" customFormat="1" x14ac:dyDescent="0.25">
      <c r="B259" s="60"/>
      <c r="D259" s="61"/>
      <c r="E259" s="61"/>
      <c r="H259" s="61"/>
      <c r="I259" s="61"/>
      <c r="Q259" s="62"/>
      <c r="R259" s="63"/>
      <c r="S259" s="64"/>
    </row>
    <row r="260" spans="2:19" s="59" customFormat="1" x14ac:dyDescent="0.25">
      <c r="B260" s="60"/>
      <c r="D260" s="61"/>
      <c r="E260" s="61"/>
      <c r="H260" s="61"/>
      <c r="I260" s="61"/>
      <c r="Q260" s="62"/>
      <c r="R260" s="63"/>
      <c r="S260" s="64"/>
    </row>
    <row r="261" spans="2:19" s="59" customFormat="1" x14ac:dyDescent="0.25">
      <c r="B261" s="60"/>
      <c r="D261" s="61"/>
      <c r="E261" s="61"/>
      <c r="H261" s="61"/>
      <c r="I261" s="61"/>
      <c r="Q261" s="62"/>
      <c r="R261" s="63"/>
      <c r="S261" s="64"/>
    </row>
    <row r="262" spans="2:19" s="59" customFormat="1" x14ac:dyDescent="0.25">
      <c r="B262" s="60"/>
      <c r="D262" s="61"/>
      <c r="E262" s="61"/>
      <c r="H262" s="61"/>
      <c r="I262" s="61"/>
      <c r="Q262" s="62"/>
      <c r="R262" s="63"/>
      <c r="S262" s="64"/>
    </row>
    <row r="263" spans="2:19" s="59" customFormat="1" x14ac:dyDescent="0.25">
      <c r="B263" s="60"/>
      <c r="D263" s="61"/>
      <c r="E263" s="61"/>
      <c r="H263" s="61"/>
      <c r="I263" s="61"/>
      <c r="Q263" s="62"/>
      <c r="R263" s="63"/>
      <c r="S263" s="64"/>
    </row>
    <row r="264" spans="2:19" s="59" customFormat="1" x14ac:dyDescent="0.25">
      <c r="B264" s="60"/>
      <c r="D264" s="61"/>
      <c r="E264" s="61"/>
      <c r="H264" s="61"/>
      <c r="I264" s="61"/>
      <c r="Q264" s="62"/>
      <c r="R264" s="63"/>
      <c r="S264" s="64"/>
    </row>
    <row r="265" spans="2:19" s="59" customFormat="1" x14ac:dyDescent="0.25">
      <c r="B265" s="60"/>
      <c r="D265" s="61"/>
      <c r="E265" s="61"/>
      <c r="H265" s="61"/>
      <c r="I265" s="61"/>
      <c r="Q265" s="62"/>
      <c r="R265" s="63"/>
      <c r="S265" s="64"/>
    </row>
    <row r="266" spans="2:19" s="59" customFormat="1" x14ac:dyDescent="0.25">
      <c r="B266" s="60"/>
      <c r="D266" s="61"/>
      <c r="E266" s="61"/>
      <c r="H266" s="61"/>
      <c r="I266" s="61"/>
      <c r="Q266" s="62"/>
      <c r="R266" s="63"/>
      <c r="S266" s="64"/>
    </row>
    <row r="267" spans="2:19" s="59" customFormat="1" x14ac:dyDescent="0.25">
      <c r="B267" s="60"/>
      <c r="D267" s="61"/>
      <c r="E267" s="61"/>
      <c r="H267" s="61"/>
      <c r="I267" s="61"/>
      <c r="Q267" s="62"/>
      <c r="R267" s="63"/>
      <c r="S267" s="64"/>
    </row>
    <row r="268" spans="2:19" s="59" customFormat="1" x14ac:dyDescent="0.25">
      <c r="B268" s="60"/>
      <c r="D268" s="61"/>
      <c r="E268" s="61"/>
      <c r="H268" s="61"/>
      <c r="I268" s="61"/>
      <c r="Q268" s="62"/>
      <c r="R268" s="63"/>
      <c r="S268" s="64"/>
    </row>
    <row r="269" spans="2:19" s="59" customFormat="1" x14ac:dyDescent="0.25">
      <c r="B269" s="60"/>
      <c r="D269" s="61"/>
      <c r="E269" s="61"/>
      <c r="H269" s="61"/>
      <c r="I269" s="61"/>
      <c r="Q269" s="62"/>
      <c r="R269" s="63"/>
      <c r="S269" s="64"/>
    </row>
    <row r="270" spans="2:19" s="59" customFormat="1" x14ac:dyDescent="0.25">
      <c r="B270" s="60"/>
      <c r="D270" s="61"/>
      <c r="E270" s="61"/>
      <c r="H270" s="61"/>
      <c r="I270" s="61"/>
      <c r="Q270" s="62"/>
      <c r="R270" s="63"/>
      <c r="S270" s="64"/>
    </row>
    <row r="271" spans="2:19" s="59" customFormat="1" x14ac:dyDescent="0.25">
      <c r="B271" s="60"/>
      <c r="D271" s="61"/>
      <c r="E271" s="61"/>
      <c r="H271" s="61"/>
      <c r="I271" s="61"/>
      <c r="Q271" s="62"/>
      <c r="R271" s="63"/>
      <c r="S271" s="64"/>
    </row>
    <row r="272" spans="2:19" s="59" customFormat="1" x14ac:dyDescent="0.25">
      <c r="B272" s="60"/>
      <c r="D272" s="61"/>
      <c r="E272" s="61"/>
      <c r="H272" s="61"/>
      <c r="I272" s="61"/>
      <c r="Q272" s="62"/>
      <c r="R272" s="63"/>
      <c r="S272" s="64"/>
    </row>
    <row r="273" spans="2:19" s="59" customFormat="1" x14ac:dyDescent="0.25">
      <c r="B273" s="60"/>
      <c r="D273" s="61"/>
      <c r="E273" s="61"/>
      <c r="H273" s="61"/>
      <c r="I273" s="61"/>
      <c r="Q273" s="62"/>
      <c r="R273" s="63"/>
      <c r="S273" s="64"/>
    </row>
    <row r="274" spans="2:19" s="59" customFormat="1" x14ac:dyDescent="0.25">
      <c r="B274" s="60"/>
      <c r="D274" s="61"/>
      <c r="E274" s="61"/>
      <c r="H274" s="61"/>
      <c r="I274" s="61"/>
      <c r="Q274" s="62"/>
      <c r="R274" s="63"/>
      <c r="S274" s="64"/>
    </row>
    <row r="275" spans="2:19" s="59" customFormat="1" x14ac:dyDescent="0.25">
      <c r="B275" s="60"/>
      <c r="D275" s="61"/>
      <c r="E275" s="61"/>
      <c r="H275" s="61"/>
      <c r="I275" s="61"/>
      <c r="Q275" s="62"/>
      <c r="R275" s="63"/>
      <c r="S275" s="64"/>
    </row>
    <row r="276" spans="2:19" s="59" customFormat="1" x14ac:dyDescent="0.25">
      <c r="B276" s="60"/>
      <c r="D276" s="61"/>
      <c r="E276" s="61"/>
      <c r="H276" s="61"/>
      <c r="I276" s="61"/>
      <c r="Q276" s="62"/>
      <c r="R276" s="63"/>
      <c r="S276" s="64"/>
    </row>
    <row r="277" spans="2:19" s="59" customFormat="1" x14ac:dyDescent="0.25">
      <c r="B277" s="60"/>
      <c r="D277" s="61"/>
      <c r="E277" s="61"/>
      <c r="H277" s="61"/>
      <c r="I277" s="61"/>
      <c r="Q277" s="62"/>
      <c r="R277" s="63"/>
      <c r="S277" s="64"/>
    </row>
    <row r="278" spans="2:19" s="59" customFormat="1" x14ac:dyDescent="0.25">
      <c r="B278" s="60"/>
      <c r="D278" s="61"/>
      <c r="E278" s="61"/>
      <c r="H278" s="61"/>
      <c r="I278" s="61"/>
      <c r="Q278" s="62"/>
      <c r="R278" s="63"/>
      <c r="S278" s="64"/>
    </row>
    <row r="279" spans="2:19" s="59" customFormat="1" x14ac:dyDescent="0.25">
      <c r="B279" s="60"/>
      <c r="D279" s="61"/>
      <c r="E279" s="61"/>
      <c r="H279" s="61"/>
      <c r="I279" s="61"/>
      <c r="Q279" s="62"/>
      <c r="R279" s="63"/>
      <c r="S279" s="64"/>
    </row>
    <row r="280" spans="2:19" s="59" customFormat="1" x14ac:dyDescent="0.25">
      <c r="B280" s="60"/>
      <c r="D280" s="61"/>
      <c r="E280" s="61"/>
      <c r="H280" s="61"/>
      <c r="I280" s="61"/>
      <c r="Q280" s="62"/>
      <c r="R280" s="63"/>
      <c r="S280" s="64"/>
    </row>
    <row r="281" spans="2:19" s="59" customFormat="1" x14ac:dyDescent="0.25">
      <c r="B281" s="60"/>
      <c r="D281" s="61"/>
      <c r="E281" s="61"/>
      <c r="H281" s="61"/>
      <c r="I281" s="61"/>
      <c r="Q281" s="62"/>
      <c r="R281" s="63"/>
      <c r="S281" s="64"/>
    </row>
    <row r="282" spans="2:19" s="59" customFormat="1" x14ac:dyDescent="0.25">
      <c r="B282" s="60"/>
      <c r="D282" s="61"/>
      <c r="E282" s="61"/>
      <c r="H282" s="61"/>
      <c r="I282" s="61"/>
      <c r="Q282" s="62"/>
      <c r="R282" s="63"/>
      <c r="S282" s="64"/>
    </row>
    <row r="283" spans="2:19" s="59" customFormat="1" x14ac:dyDescent="0.25">
      <c r="B283" s="60"/>
      <c r="D283" s="61"/>
      <c r="E283" s="61"/>
      <c r="H283" s="61"/>
      <c r="I283" s="61"/>
      <c r="Q283" s="62"/>
      <c r="R283" s="63"/>
      <c r="S283" s="64"/>
    </row>
    <row r="284" spans="2:19" s="59" customFormat="1" x14ac:dyDescent="0.25">
      <c r="B284" s="60"/>
      <c r="D284" s="61"/>
      <c r="E284" s="61"/>
      <c r="H284" s="61"/>
      <c r="I284" s="61"/>
      <c r="Q284" s="62"/>
      <c r="R284" s="63"/>
      <c r="S284" s="64"/>
    </row>
    <row r="285" spans="2:19" s="59" customFormat="1" x14ac:dyDescent="0.25">
      <c r="B285" s="60"/>
      <c r="D285" s="61"/>
      <c r="E285" s="61"/>
      <c r="H285" s="61"/>
      <c r="I285" s="61"/>
      <c r="Q285" s="62"/>
      <c r="R285" s="63"/>
      <c r="S285" s="64"/>
    </row>
    <row r="286" spans="2:19" s="59" customFormat="1" x14ac:dyDescent="0.25">
      <c r="B286" s="60"/>
      <c r="D286" s="61"/>
      <c r="E286" s="61"/>
      <c r="H286" s="61"/>
      <c r="I286" s="61"/>
      <c r="Q286" s="62"/>
      <c r="R286" s="63"/>
      <c r="S286" s="64"/>
    </row>
    <row r="287" spans="2:19" s="59" customFormat="1" x14ac:dyDescent="0.25">
      <c r="B287" s="60"/>
      <c r="D287" s="61"/>
      <c r="E287" s="61"/>
      <c r="H287" s="61"/>
      <c r="I287" s="61"/>
      <c r="Q287" s="62"/>
      <c r="R287" s="63"/>
      <c r="S287" s="64"/>
    </row>
    <row r="288" spans="2:19" s="59" customFormat="1" x14ac:dyDescent="0.25">
      <c r="B288" s="60"/>
      <c r="D288" s="61"/>
      <c r="E288" s="61"/>
      <c r="H288" s="61"/>
      <c r="I288" s="61"/>
      <c r="Q288" s="62"/>
      <c r="R288" s="63"/>
      <c r="S288" s="64"/>
    </row>
    <row r="289" spans="2:19" s="59" customFormat="1" x14ac:dyDescent="0.25">
      <c r="B289" s="60"/>
      <c r="D289" s="61"/>
      <c r="E289" s="61"/>
      <c r="H289" s="61"/>
      <c r="I289" s="61"/>
      <c r="Q289" s="62"/>
      <c r="R289" s="63"/>
      <c r="S289" s="64"/>
    </row>
    <row r="290" spans="2:19" s="59" customFormat="1" x14ac:dyDescent="0.25">
      <c r="B290" s="60"/>
      <c r="D290" s="61"/>
      <c r="E290" s="61"/>
      <c r="H290" s="61"/>
      <c r="I290" s="61"/>
      <c r="Q290" s="62"/>
      <c r="R290" s="63"/>
      <c r="S290" s="64"/>
    </row>
    <row r="291" spans="2:19" s="59" customFormat="1" x14ac:dyDescent="0.25">
      <c r="B291" s="60"/>
      <c r="D291" s="61"/>
      <c r="E291" s="61"/>
      <c r="H291" s="61"/>
      <c r="I291" s="61"/>
      <c r="Q291" s="62"/>
      <c r="R291" s="63"/>
      <c r="S291" s="64"/>
    </row>
    <row r="292" spans="2:19" s="59" customFormat="1" x14ac:dyDescent="0.25">
      <c r="B292" s="60"/>
      <c r="D292" s="61"/>
      <c r="E292" s="61"/>
      <c r="H292" s="61"/>
      <c r="I292" s="61"/>
      <c r="Q292" s="62"/>
      <c r="R292" s="63"/>
      <c r="S292" s="64"/>
    </row>
    <row r="293" spans="2:19" s="59" customFormat="1" x14ac:dyDescent="0.25">
      <c r="B293" s="60"/>
      <c r="D293" s="61"/>
      <c r="E293" s="61"/>
      <c r="H293" s="61"/>
      <c r="I293" s="61"/>
      <c r="Q293" s="62"/>
      <c r="R293" s="63"/>
      <c r="S293" s="64"/>
    </row>
    <row r="294" spans="2:19" s="59" customFormat="1" x14ac:dyDescent="0.25">
      <c r="B294" s="60"/>
      <c r="D294" s="61"/>
      <c r="E294" s="61"/>
      <c r="H294" s="61"/>
      <c r="I294" s="61"/>
      <c r="Q294" s="62"/>
      <c r="R294" s="63"/>
      <c r="S294" s="64"/>
    </row>
    <row r="295" spans="2:19" s="59" customFormat="1" x14ac:dyDescent="0.25">
      <c r="B295" s="60"/>
      <c r="D295" s="61"/>
      <c r="E295" s="61"/>
      <c r="H295" s="61"/>
      <c r="I295" s="61"/>
      <c r="Q295" s="62"/>
      <c r="R295" s="63"/>
      <c r="S295" s="64"/>
    </row>
    <row r="296" spans="2:19" s="59" customFormat="1" x14ac:dyDescent="0.25">
      <c r="B296" s="60"/>
      <c r="D296" s="61"/>
      <c r="E296" s="61"/>
      <c r="H296" s="61"/>
      <c r="I296" s="61"/>
      <c r="Q296" s="62"/>
      <c r="R296" s="63"/>
      <c r="S296" s="64"/>
    </row>
    <row r="297" spans="2:19" s="59" customFormat="1" x14ac:dyDescent="0.25">
      <c r="B297" s="60"/>
      <c r="D297" s="61"/>
      <c r="E297" s="61"/>
      <c r="H297" s="61"/>
      <c r="I297" s="61"/>
      <c r="Q297" s="62"/>
      <c r="R297" s="63"/>
      <c r="S297" s="64"/>
    </row>
    <row r="298" spans="2:19" s="59" customFormat="1" x14ac:dyDescent="0.25">
      <c r="B298" s="60"/>
      <c r="D298" s="61"/>
      <c r="E298" s="61"/>
      <c r="H298" s="61"/>
      <c r="I298" s="61"/>
      <c r="Q298" s="62"/>
      <c r="R298" s="63"/>
      <c r="S298" s="64"/>
    </row>
    <row r="299" spans="2:19" s="59" customFormat="1" x14ac:dyDescent="0.25">
      <c r="B299" s="60"/>
      <c r="D299" s="61"/>
      <c r="E299" s="61"/>
      <c r="H299" s="61"/>
      <c r="I299" s="61"/>
      <c r="Q299" s="62"/>
      <c r="R299" s="63"/>
      <c r="S299" s="64"/>
    </row>
    <row r="300" spans="2:19" s="59" customFormat="1" x14ac:dyDescent="0.25">
      <c r="B300" s="60"/>
      <c r="D300" s="61"/>
      <c r="E300" s="61"/>
      <c r="H300" s="61"/>
      <c r="I300" s="61"/>
      <c r="Q300" s="62"/>
      <c r="R300" s="63"/>
      <c r="S300" s="64"/>
    </row>
    <row r="301" spans="2:19" s="59" customFormat="1" x14ac:dyDescent="0.25">
      <c r="B301" s="60"/>
      <c r="D301" s="61"/>
      <c r="E301" s="61"/>
      <c r="H301" s="61"/>
      <c r="I301" s="61"/>
      <c r="Q301" s="62"/>
      <c r="R301" s="63"/>
      <c r="S301" s="64"/>
    </row>
    <row r="302" spans="2:19" s="59" customFormat="1" x14ac:dyDescent="0.25">
      <c r="B302" s="60"/>
      <c r="D302" s="61"/>
      <c r="E302" s="61"/>
      <c r="H302" s="61"/>
      <c r="I302" s="61"/>
      <c r="Q302" s="62"/>
      <c r="R302" s="63"/>
      <c r="S302" s="64"/>
    </row>
    <row r="303" spans="2:19" s="59" customFormat="1" x14ac:dyDescent="0.25">
      <c r="B303" s="60"/>
      <c r="D303" s="61"/>
      <c r="E303" s="61"/>
      <c r="H303" s="61"/>
      <c r="I303" s="61"/>
      <c r="Q303" s="62"/>
      <c r="R303" s="63"/>
      <c r="S303" s="64"/>
    </row>
    <row r="304" spans="2:19" s="59" customFormat="1" x14ac:dyDescent="0.25">
      <c r="B304" s="60"/>
      <c r="D304" s="61"/>
      <c r="E304" s="61"/>
      <c r="H304" s="61"/>
      <c r="I304" s="61"/>
      <c r="Q304" s="62"/>
      <c r="R304" s="63"/>
      <c r="S304" s="64"/>
    </row>
    <row r="305" spans="2:19" s="59" customFormat="1" x14ac:dyDescent="0.25">
      <c r="B305" s="60"/>
      <c r="D305" s="61"/>
      <c r="E305" s="61"/>
      <c r="H305" s="61"/>
      <c r="I305" s="61"/>
      <c r="Q305" s="62"/>
      <c r="R305" s="63"/>
      <c r="S305" s="64"/>
    </row>
    <row r="306" spans="2:19" s="59" customFormat="1" x14ac:dyDescent="0.25">
      <c r="B306" s="60"/>
      <c r="D306" s="61"/>
      <c r="E306" s="61"/>
      <c r="H306" s="61"/>
      <c r="I306" s="61"/>
      <c r="Q306" s="62"/>
      <c r="R306" s="63"/>
      <c r="S306" s="64"/>
    </row>
    <row r="307" spans="2:19" s="59" customFormat="1" x14ac:dyDescent="0.25">
      <c r="B307" s="60"/>
      <c r="D307" s="61"/>
      <c r="E307" s="61"/>
      <c r="H307" s="61"/>
      <c r="I307" s="61"/>
      <c r="Q307" s="62"/>
      <c r="R307" s="63"/>
      <c r="S307" s="64"/>
    </row>
    <row r="308" spans="2:19" s="59" customFormat="1" x14ac:dyDescent="0.25">
      <c r="B308" s="60"/>
      <c r="D308" s="61"/>
      <c r="E308" s="61"/>
      <c r="H308" s="61"/>
      <c r="I308" s="61"/>
      <c r="Q308" s="62"/>
      <c r="R308" s="63"/>
      <c r="S308" s="64"/>
    </row>
    <row r="309" spans="2:19" s="59" customFormat="1" x14ac:dyDescent="0.25">
      <c r="B309" s="60"/>
      <c r="D309" s="61"/>
      <c r="E309" s="61"/>
      <c r="H309" s="61"/>
      <c r="I309" s="61"/>
      <c r="Q309" s="62"/>
      <c r="R309" s="63"/>
      <c r="S309" s="64"/>
    </row>
    <row r="310" spans="2:19" s="59" customFormat="1" x14ac:dyDescent="0.25">
      <c r="B310" s="60"/>
      <c r="D310" s="61"/>
      <c r="E310" s="61"/>
      <c r="H310" s="61"/>
      <c r="I310" s="61"/>
      <c r="Q310" s="62"/>
      <c r="R310" s="63"/>
      <c r="S310" s="64"/>
    </row>
    <row r="311" spans="2:19" s="59" customFormat="1" x14ac:dyDescent="0.25">
      <c r="B311" s="60"/>
      <c r="D311" s="61"/>
      <c r="E311" s="61"/>
      <c r="H311" s="61"/>
      <c r="I311" s="61"/>
      <c r="Q311" s="62"/>
      <c r="R311" s="63"/>
      <c r="S311" s="64"/>
    </row>
    <row r="312" spans="2:19" s="59" customFormat="1" x14ac:dyDescent="0.25">
      <c r="B312" s="60"/>
      <c r="D312" s="61"/>
      <c r="E312" s="61"/>
      <c r="H312" s="61"/>
      <c r="I312" s="61"/>
      <c r="Q312" s="62"/>
      <c r="R312" s="63"/>
      <c r="S312" s="64"/>
    </row>
    <row r="313" spans="2:19" s="59" customFormat="1" x14ac:dyDescent="0.25">
      <c r="B313" s="60"/>
      <c r="D313" s="61"/>
      <c r="E313" s="61"/>
      <c r="H313" s="61"/>
      <c r="I313" s="61"/>
      <c r="Q313" s="62"/>
      <c r="R313" s="63"/>
      <c r="S313" s="64"/>
    </row>
    <row r="314" spans="2:19" s="59" customFormat="1" x14ac:dyDescent="0.25">
      <c r="B314" s="60"/>
      <c r="D314" s="61"/>
      <c r="E314" s="61"/>
      <c r="H314" s="61"/>
      <c r="I314" s="61"/>
      <c r="Q314" s="62"/>
      <c r="R314" s="63"/>
      <c r="S314" s="64"/>
    </row>
    <row r="315" spans="2:19" s="59" customFormat="1" x14ac:dyDescent="0.25">
      <c r="B315" s="60"/>
      <c r="D315" s="61"/>
      <c r="E315" s="61"/>
      <c r="H315" s="61"/>
      <c r="I315" s="61"/>
      <c r="Q315" s="62"/>
      <c r="R315" s="63"/>
      <c r="S315" s="64"/>
    </row>
    <row r="316" spans="2:19" s="59" customFormat="1" x14ac:dyDescent="0.25">
      <c r="B316" s="60"/>
      <c r="D316" s="61"/>
      <c r="E316" s="61"/>
      <c r="H316" s="61"/>
      <c r="I316" s="61"/>
      <c r="Q316" s="62"/>
      <c r="R316" s="63"/>
      <c r="S316" s="64"/>
    </row>
    <row r="317" spans="2:19" s="59" customFormat="1" x14ac:dyDescent="0.25">
      <c r="B317" s="60"/>
      <c r="D317" s="61"/>
      <c r="E317" s="61"/>
      <c r="H317" s="61"/>
      <c r="I317" s="61"/>
      <c r="Q317" s="62"/>
      <c r="R317" s="63"/>
      <c r="S317" s="64"/>
    </row>
    <row r="318" spans="2:19" s="59" customFormat="1" x14ac:dyDescent="0.25">
      <c r="B318" s="60"/>
      <c r="D318" s="61"/>
      <c r="E318" s="61"/>
      <c r="H318" s="61"/>
      <c r="I318" s="61"/>
      <c r="Q318" s="62"/>
      <c r="R318" s="63"/>
      <c r="S318" s="64"/>
    </row>
    <row r="319" spans="2:19" s="59" customFormat="1" x14ac:dyDescent="0.25">
      <c r="B319" s="60"/>
      <c r="D319" s="61"/>
      <c r="E319" s="61"/>
      <c r="H319" s="61"/>
      <c r="I319" s="61"/>
      <c r="Q319" s="62"/>
      <c r="R319" s="63"/>
      <c r="S319" s="64"/>
    </row>
    <row r="320" spans="2:19" s="59" customFormat="1" x14ac:dyDescent="0.25">
      <c r="B320" s="60"/>
      <c r="D320" s="61"/>
      <c r="E320" s="61"/>
      <c r="H320" s="61"/>
      <c r="I320" s="61"/>
      <c r="Q320" s="62"/>
      <c r="R320" s="63"/>
      <c r="S320" s="64"/>
    </row>
    <row r="321" spans="2:19" s="59" customFormat="1" x14ac:dyDescent="0.25">
      <c r="B321" s="60"/>
      <c r="D321" s="61"/>
      <c r="E321" s="61"/>
      <c r="H321" s="61"/>
      <c r="I321" s="61"/>
      <c r="Q321" s="62"/>
      <c r="R321" s="63"/>
      <c r="S321" s="64"/>
    </row>
    <row r="322" spans="2:19" s="59" customFormat="1" x14ac:dyDescent="0.25">
      <c r="B322" s="60"/>
      <c r="D322" s="61"/>
      <c r="E322" s="61"/>
      <c r="H322" s="61"/>
      <c r="I322" s="61"/>
      <c r="Q322" s="62"/>
      <c r="R322" s="63"/>
      <c r="S322" s="64"/>
    </row>
    <row r="323" spans="2:19" s="59" customFormat="1" x14ac:dyDescent="0.25">
      <c r="B323" s="60"/>
      <c r="D323" s="61"/>
      <c r="E323" s="61"/>
      <c r="H323" s="61"/>
      <c r="I323" s="61"/>
      <c r="Q323" s="62"/>
      <c r="R323" s="63"/>
      <c r="S323" s="64"/>
    </row>
    <row r="324" spans="2:19" s="59" customFormat="1" x14ac:dyDescent="0.25">
      <c r="B324" s="60"/>
      <c r="D324" s="61"/>
      <c r="E324" s="61"/>
      <c r="H324" s="61"/>
      <c r="I324" s="61"/>
      <c r="Q324" s="62"/>
      <c r="R324" s="63"/>
      <c r="S324" s="64"/>
    </row>
    <row r="325" spans="2:19" s="59" customFormat="1" x14ac:dyDescent="0.25">
      <c r="B325" s="60"/>
      <c r="D325" s="61"/>
      <c r="E325" s="61"/>
      <c r="H325" s="61"/>
      <c r="I325" s="61"/>
      <c r="Q325" s="62"/>
      <c r="R325" s="63"/>
      <c r="S325" s="64"/>
    </row>
    <row r="326" spans="2:19" s="59" customFormat="1" x14ac:dyDescent="0.25">
      <c r="B326" s="60"/>
      <c r="D326" s="61"/>
      <c r="E326" s="61"/>
      <c r="H326" s="61"/>
      <c r="I326" s="61"/>
      <c r="Q326" s="62"/>
      <c r="R326" s="63"/>
      <c r="S326" s="64"/>
    </row>
    <row r="327" spans="2:19" s="59" customFormat="1" x14ac:dyDescent="0.25">
      <c r="B327" s="60"/>
      <c r="D327" s="61"/>
      <c r="E327" s="61"/>
      <c r="H327" s="61"/>
      <c r="I327" s="61"/>
      <c r="Q327" s="62"/>
      <c r="R327" s="63"/>
      <c r="S327" s="64"/>
    </row>
    <row r="328" spans="2:19" s="59" customFormat="1" x14ac:dyDescent="0.25">
      <c r="B328" s="60"/>
      <c r="D328" s="61"/>
      <c r="E328" s="61"/>
      <c r="H328" s="61"/>
      <c r="I328" s="61"/>
      <c r="Q328" s="62"/>
      <c r="R328" s="63"/>
      <c r="S328" s="64"/>
    </row>
    <row r="329" spans="2:19" s="59" customFormat="1" x14ac:dyDescent="0.25">
      <c r="B329" s="60"/>
      <c r="D329" s="61"/>
      <c r="E329" s="61"/>
      <c r="H329" s="61"/>
      <c r="I329" s="61"/>
      <c r="Q329" s="62"/>
      <c r="R329" s="63"/>
      <c r="S329" s="64"/>
    </row>
    <row r="330" spans="2:19" s="59" customFormat="1" x14ac:dyDescent="0.25">
      <c r="B330" s="60"/>
      <c r="D330" s="61"/>
      <c r="E330" s="61"/>
      <c r="H330" s="61"/>
      <c r="I330" s="61"/>
      <c r="Q330" s="62"/>
      <c r="R330" s="63"/>
      <c r="S330" s="64"/>
    </row>
    <row r="331" spans="2:19" s="59" customFormat="1" x14ac:dyDescent="0.25">
      <c r="B331" s="60"/>
      <c r="D331" s="61"/>
      <c r="E331" s="61"/>
      <c r="H331" s="61"/>
      <c r="I331" s="61"/>
      <c r="Q331" s="62"/>
      <c r="R331" s="63"/>
      <c r="S331" s="64"/>
    </row>
    <row r="332" spans="2:19" s="59" customFormat="1" x14ac:dyDescent="0.25">
      <c r="B332" s="60"/>
      <c r="D332" s="61"/>
      <c r="E332" s="61"/>
      <c r="H332" s="61"/>
      <c r="I332" s="61"/>
      <c r="Q332" s="62"/>
      <c r="R332" s="63"/>
      <c r="S332" s="64"/>
    </row>
    <row r="333" spans="2:19" s="59" customFormat="1" x14ac:dyDescent="0.25">
      <c r="B333" s="60"/>
      <c r="D333" s="61"/>
      <c r="E333" s="61"/>
      <c r="H333" s="61"/>
      <c r="I333" s="61"/>
      <c r="Q333" s="62"/>
      <c r="R333" s="63"/>
      <c r="S333" s="64"/>
    </row>
    <row r="334" spans="2:19" s="59" customFormat="1" x14ac:dyDescent="0.25">
      <c r="B334" s="60"/>
      <c r="D334" s="61"/>
      <c r="E334" s="61"/>
      <c r="H334" s="61"/>
      <c r="I334" s="61"/>
      <c r="Q334" s="62"/>
      <c r="R334" s="63"/>
      <c r="S334" s="64"/>
    </row>
    <row r="335" spans="2:19" s="59" customFormat="1" x14ac:dyDescent="0.25">
      <c r="B335" s="60"/>
      <c r="D335" s="61"/>
      <c r="E335" s="61"/>
      <c r="H335" s="61"/>
      <c r="I335" s="61"/>
      <c r="Q335" s="62"/>
      <c r="R335" s="63"/>
      <c r="S335" s="64"/>
    </row>
    <row r="336" spans="2:19" s="59" customFormat="1" x14ac:dyDescent="0.25">
      <c r="B336" s="60"/>
      <c r="D336" s="61"/>
      <c r="E336" s="61"/>
      <c r="H336" s="61"/>
      <c r="I336" s="61"/>
      <c r="Q336" s="62"/>
      <c r="R336" s="63"/>
      <c r="S336" s="64"/>
    </row>
    <row r="337" spans="2:19" s="59" customFormat="1" x14ac:dyDescent="0.25">
      <c r="B337" s="60"/>
      <c r="D337" s="61"/>
      <c r="E337" s="61"/>
      <c r="H337" s="61"/>
      <c r="I337" s="61"/>
      <c r="Q337" s="62"/>
      <c r="R337" s="63"/>
      <c r="S337" s="64"/>
    </row>
    <row r="338" spans="2:19" s="59" customFormat="1" x14ac:dyDescent="0.25">
      <c r="B338" s="60"/>
      <c r="D338" s="61"/>
      <c r="E338" s="61"/>
      <c r="H338" s="61"/>
      <c r="I338" s="61"/>
      <c r="Q338" s="62"/>
      <c r="R338" s="63"/>
      <c r="S338" s="64"/>
    </row>
    <row r="339" spans="2:19" s="59" customFormat="1" x14ac:dyDescent="0.25">
      <c r="B339" s="60"/>
      <c r="D339" s="61"/>
      <c r="E339" s="61"/>
      <c r="H339" s="61"/>
      <c r="I339" s="61"/>
      <c r="Q339" s="62"/>
      <c r="R339" s="63"/>
      <c r="S339" s="64"/>
    </row>
    <row r="340" spans="2:19" s="59" customFormat="1" x14ac:dyDescent="0.25">
      <c r="B340" s="60"/>
      <c r="D340" s="61"/>
      <c r="E340" s="61"/>
      <c r="H340" s="61"/>
      <c r="I340" s="61"/>
      <c r="Q340" s="62"/>
      <c r="R340" s="63"/>
      <c r="S340" s="64"/>
    </row>
    <row r="341" spans="2:19" s="59" customFormat="1" x14ac:dyDescent="0.25">
      <c r="B341" s="60"/>
      <c r="D341" s="61"/>
      <c r="E341" s="61"/>
      <c r="H341" s="61"/>
      <c r="I341" s="61"/>
      <c r="Q341" s="62"/>
      <c r="R341" s="63"/>
      <c r="S341" s="64"/>
    </row>
    <row r="342" spans="2:19" s="59" customFormat="1" x14ac:dyDescent="0.25">
      <c r="B342" s="60"/>
      <c r="D342" s="61"/>
      <c r="E342" s="61"/>
      <c r="H342" s="61"/>
      <c r="I342" s="61"/>
      <c r="Q342" s="62"/>
      <c r="R342" s="63"/>
      <c r="S342" s="64"/>
    </row>
    <row r="343" spans="2:19" s="59" customFormat="1" x14ac:dyDescent="0.25">
      <c r="B343" s="60"/>
      <c r="D343" s="61"/>
      <c r="E343" s="61"/>
      <c r="H343" s="61"/>
      <c r="I343" s="61"/>
      <c r="Q343" s="62"/>
      <c r="R343" s="63"/>
      <c r="S343" s="64"/>
    </row>
    <row r="344" spans="2:19" s="59" customFormat="1" x14ac:dyDescent="0.25">
      <c r="B344" s="60"/>
      <c r="D344" s="61"/>
      <c r="E344" s="61"/>
      <c r="H344" s="61"/>
      <c r="I344" s="61"/>
      <c r="Q344" s="62"/>
      <c r="R344" s="63"/>
      <c r="S344" s="64"/>
    </row>
    <row r="345" spans="2:19" s="59" customFormat="1" x14ac:dyDescent="0.25">
      <c r="B345" s="60"/>
      <c r="D345" s="61"/>
      <c r="E345" s="61"/>
      <c r="H345" s="61"/>
      <c r="I345" s="61"/>
      <c r="Q345" s="62"/>
      <c r="R345" s="63"/>
      <c r="S345" s="64"/>
    </row>
    <row r="346" spans="2:19" s="59" customFormat="1" x14ac:dyDescent="0.25">
      <c r="B346" s="60"/>
      <c r="D346" s="61"/>
      <c r="E346" s="61"/>
      <c r="H346" s="61"/>
      <c r="I346" s="61"/>
      <c r="Q346" s="62"/>
      <c r="R346" s="63"/>
      <c r="S346" s="64"/>
    </row>
    <row r="347" spans="2:19" s="59" customFormat="1" x14ac:dyDescent="0.25">
      <c r="B347" s="60"/>
      <c r="D347" s="61"/>
      <c r="E347" s="61"/>
      <c r="H347" s="61"/>
      <c r="I347" s="61"/>
      <c r="Q347" s="62"/>
      <c r="R347" s="63"/>
      <c r="S347" s="64"/>
    </row>
    <row r="348" spans="2:19" s="59" customFormat="1" x14ac:dyDescent="0.25">
      <c r="B348" s="60"/>
      <c r="D348" s="61"/>
      <c r="E348" s="61"/>
      <c r="H348" s="61"/>
      <c r="I348" s="61"/>
      <c r="Q348" s="62"/>
      <c r="R348" s="63"/>
      <c r="S348" s="64"/>
    </row>
    <row r="349" spans="2:19" s="59" customFormat="1" x14ac:dyDescent="0.25">
      <c r="B349" s="60"/>
      <c r="D349" s="61"/>
      <c r="E349" s="61"/>
      <c r="H349" s="61"/>
      <c r="I349" s="61"/>
      <c r="Q349" s="62"/>
      <c r="R349" s="63"/>
      <c r="S349" s="64"/>
    </row>
    <row r="350" spans="2:19" s="59" customFormat="1" x14ac:dyDescent="0.25">
      <c r="B350" s="60"/>
      <c r="D350" s="61"/>
      <c r="E350" s="61"/>
      <c r="H350" s="61"/>
      <c r="I350" s="61"/>
      <c r="Q350" s="62"/>
      <c r="R350" s="63"/>
      <c r="S350" s="64"/>
    </row>
    <row r="351" spans="2:19" s="59" customFormat="1" x14ac:dyDescent="0.25">
      <c r="B351" s="60"/>
      <c r="D351" s="61"/>
      <c r="E351" s="61"/>
      <c r="H351" s="61"/>
      <c r="I351" s="61"/>
      <c r="Q351" s="62"/>
      <c r="R351" s="63"/>
      <c r="S351" s="64"/>
    </row>
    <row r="352" spans="2:19" s="59" customFormat="1" x14ac:dyDescent="0.25">
      <c r="B352" s="60"/>
      <c r="D352" s="61"/>
      <c r="E352" s="61"/>
      <c r="H352" s="61"/>
      <c r="I352" s="61"/>
      <c r="Q352" s="62"/>
      <c r="R352" s="63"/>
      <c r="S352" s="64"/>
    </row>
    <row r="353" spans="2:19" s="59" customFormat="1" x14ac:dyDescent="0.25">
      <c r="B353" s="60"/>
      <c r="D353" s="61"/>
      <c r="E353" s="61"/>
      <c r="H353" s="61"/>
      <c r="I353" s="61"/>
      <c r="Q353" s="62"/>
      <c r="R353" s="63"/>
      <c r="S353" s="64"/>
    </row>
    <row r="354" spans="2:19" s="59" customFormat="1" x14ac:dyDescent="0.25">
      <c r="B354" s="60"/>
      <c r="D354" s="61"/>
      <c r="E354" s="61"/>
      <c r="H354" s="61"/>
      <c r="I354" s="61"/>
      <c r="Q354" s="62"/>
      <c r="R354" s="63"/>
      <c r="S354" s="64"/>
    </row>
    <row r="355" spans="2:19" s="59" customFormat="1" x14ac:dyDescent="0.25">
      <c r="B355" s="60"/>
      <c r="D355" s="61"/>
      <c r="E355" s="61"/>
      <c r="H355" s="61"/>
      <c r="I355" s="61"/>
      <c r="Q355" s="62"/>
      <c r="R355" s="63"/>
      <c r="S355" s="64"/>
    </row>
    <row r="356" spans="2:19" s="59" customFormat="1" x14ac:dyDescent="0.25">
      <c r="B356" s="60"/>
      <c r="D356" s="61"/>
      <c r="E356" s="61"/>
      <c r="H356" s="61"/>
      <c r="I356" s="61"/>
      <c r="Q356" s="62"/>
      <c r="R356" s="63"/>
      <c r="S356" s="64"/>
    </row>
    <row r="357" spans="2:19" s="59" customFormat="1" x14ac:dyDescent="0.25">
      <c r="B357" s="60"/>
      <c r="D357" s="61"/>
      <c r="E357" s="61"/>
      <c r="H357" s="61"/>
      <c r="I357" s="61"/>
      <c r="Q357" s="62"/>
      <c r="R357" s="63"/>
      <c r="S357" s="64"/>
    </row>
    <row r="358" spans="2:19" s="59" customFormat="1" x14ac:dyDescent="0.25">
      <c r="B358" s="60"/>
      <c r="D358" s="61"/>
      <c r="E358" s="61"/>
      <c r="H358" s="61"/>
      <c r="I358" s="61"/>
      <c r="Q358" s="62"/>
      <c r="R358" s="63"/>
      <c r="S358" s="64"/>
    </row>
    <row r="359" spans="2:19" s="59" customFormat="1" x14ac:dyDescent="0.25">
      <c r="B359" s="60"/>
      <c r="D359" s="61"/>
      <c r="E359" s="61"/>
      <c r="H359" s="61"/>
      <c r="I359" s="61"/>
      <c r="Q359" s="62"/>
      <c r="R359" s="63"/>
      <c r="S359" s="64"/>
    </row>
    <row r="360" spans="2:19" s="59" customFormat="1" x14ac:dyDescent="0.25">
      <c r="B360" s="60"/>
      <c r="D360" s="61"/>
      <c r="E360" s="61"/>
      <c r="H360" s="61"/>
      <c r="I360" s="61"/>
      <c r="Q360" s="62"/>
      <c r="R360" s="63"/>
      <c r="S360" s="64"/>
    </row>
    <row r="361" spans="2:19" s="59" customFormat="1" x14ac:dyDescent="0.25">
      <c r="B361" s="60"/>
      <c r="D361" s="61"/>
      <c r="E361" s="61"/>
      <c r="H361" s="61"/>
      <c r="I361" s="61"/>
      <c r="Q361" s="62"/>
      <c r="R361" s="63"/>
      <c r="S361" s="64"/>
    </row>
    <row r="362" spans="2:19" s="59" customFormat="1" x14ac:dyDescent="0.25">
      <c r="B362" s="60"/>
      <c r="D362" s="61"/>
      <c r="E362" s="61"/>
      <c r="H362" s="61"/>
      <c r="I362" s="61"/>
      <c r="Q362" s="62"/>
      <c r="R362" s="63"/>
      <c r="S362" s="64"/>
    </row>
    <row r="363" spans="2:19" s="59" customFormat="1" x14ac:dyDescent="0.25">
      <c r="B363" s="60"/>
      <c r="D363" s="61"/>
      <c r="E363" s="61"/>
      <c r="H363" s="61"/>
      <c r="I363" s="61"/>
      <c r="Q363" s="62"/>
      <c r="R363" s="63"/>
      <c r="S363" s="64"/>
    </row>
    <row r="364" spans="2:19" s="59" customFormat="1" x14ac:dyDescent="0.25">
      <c r="B364" s="60"/>
      <c r="D364" s="61"/>
      <c r="E364" s="61"/>
      <c r="H364" s="61"/>
      <c r="I364" s="61"/>
      <c r="Q364" s="62"/>
      <c r="R364" s="63"/>
      <c r="S364" s="64"/>
    </row>
    <row r="365" spans="2:19" s="59" customFormat="1" x14ac:dyDescent="0.25">
      <c r="B365" s="60"/>
      <c r="D365" s="61"/>
      <c r="E365" s="61"/>
      <c r="H365" s="61"/>
      <c r="I365" s="61"/>
      <c r="Q365" s="62"/>
      <c r="R365" s="63"/>
      <c r="S365" s="64"/>
    </row>
    <row r="366" spans="2:19" s="59" customFormat="1" x14ac:dyDescent="0.25">
      <c r="B366" s="60"/>
      <c r="D366" s="61"/>
      <c r="E366" s="61"/>
      <c r="H366" s="61"/>
      <c r="I366" s="61"/>
      <c r="Q366" s="62"/>
      <c r="R366" s="63"/>
      <c r="S366" s="64"/>
    </row>
    <row r="367" spans="2:19" s="59" customFormat="1" x14ac:dyDescent="0.25">
      <c r="B367" s="60"/>
      <c r="D367" s="61"/>
      <c r="E367" s="61"/>
      <c r="H367" s="61"/>
      <c r="I367" s="61"/>
      <c r="Q367" s="62"/>
      <c r="R367" s="63"/>
      <c r="S367" s="64"/>
    </row>
    <row r="368" spans="2:19" s="59" customFormat="1" x14ac:dyDescent="0.25">
      <c r="B368" s="60"/>
      <c r="D368" s="61"/>
      <c r="E368" s="61"/>
      <c r="H368" s="61"/>
      <c r="I368" s="61"/>
      <c r="Q368" s="62"/>
      <c r="R368" s="63"/>
      <c r="S368" s="64"/>
    </row>
    <row r="369" spans="2:19" s="59" customFormat="1" x14ac:dyDescent="0.25">
      <c r="B369" s="60"/>
      <c r="D369" s="61"/>
      <c r="E369" s="61"/>
      <c r="H369" s="61"/>
      <c r="I369" s="61"/>
      <c r="Q369" s="62"/>
      <c r="R369" s="63"/>
      <c r="S369" s="64"/>
    </row>
    <row r="370" spans="2:19" s="59" customFormat="1" x14ac:dyDescent="0.25">
      <c r="B370" s="60"/>
      <c r="D370" s="61"/>
      <c r="E370" s="61"/>
      <c r="H370" s="61"/>
      <c r="I370" s="61"/>
      <c r="Q370" s="62"/>
      <c r="R370" s="63"/>
      <c r="S370" s="64"/>
    </row>
    <row r="371" spans="2:19" s="59" customFormat="1" x14ac:dyDescent="0.25">
      <c r="B371" s="60"/>
      <c r="D371" s="61"/>
      <c r="E371" s="61"/>
      <c r="H371" s="61"/>
      <c r="I371" s="61"/>
      <c r="Q371" s="62"/>
      <c r="R371" s="63"/>
      <c r="S371" s="64"/>
    </row>
    <row r="372" spans="2:19" s="59" customFormat="1" x14ac:dyDescent="0.25">
      <c r="B372" s="60"/>
      <c r="D372" s="61"/>
      <c r="E372" s="61"/>
      <c r="H372" s="61"/>
      <c r="I372" s="61"/>
      <c r="Q372" s="62"/>
      <c r="R372" s="63"/>
      <c r="S372" s="64"/>
    </row>
    <row r="373" spans="2:19" s="59" customFormat="1" x14ac:dyDescent="0.25">
      <c r="B373" s="60"/>
      <c r="D373" s="61"/>
      <c r="E373" s="61"/>
      <c r="H373" s="61"/>
      <c r="I373" s="61"/>
      <c r="Q373" s="62"/>
      <c r="R373" s="63"/>
      <c r="S373" s="64"/>
    </row>
    <row r="374" spans="2:19" s="59" customFormat="1" x14ac:dyDescent="0.25">
      <c r="B374" s="60"/>
      <c r="D374" s="61"/>
      <c r="E374" s="61"/>
      <c r="H374" s="61"/>
      <c r="I374" s="61"/>
      <c r="Q374" s="62"/>
      <c r="R374" s="63"/>
      <c r="S374" s="64"/>
    </row>
    <row r="375" spans="2:19" s="59" customFormat="1" x14ac:dyDescent="0.25">
      <c r="B375" s="60"/>
      <c r="D375" s="61"/>
      <c r="E375" s="61"/>
      <c r="H375" s="61"/>
      <c r="I375" s="61"/>
      <c r="Q375" s="62"/>
      <c r="R375" s="63"/>
      <c r="S375" s="64"/>
    </row>
    <row r="376" spans="2:19" s="59" customFormat="1" x14ac:dyDescent="0.25">
      <c r="B376" s="60"/>
      <c r="D376" s="61"/>
      <c r="E376" s="61"/>
      <c r="H376" s="61"/>
      <c r="I376" s="61"/>
      <c r="Q376" s="62"/>
      <c r="R376" s="63"/>
      <c r="S376" s="64"/>
    </row>
    <row r="377" spans="2:19" s="59" customFormat="1" x14ac:dyDescent="0.25">
      <c r="B377" s="60"/>
      <c r="D377" s="61"/>
      <c r="E377" s="61"/>
      <c r="H377" s="61"/>
      <c r="I377" s="61"/>
      <c r="Q377" s="62"/>
      <c r="R377" s="63"/>
      <c r="S377" s="64"/>
    </row>
    <row r="378" spans="2:19" s="59" customFormat="1" x14ac:dyDescent="0.25">
      <c r="B378" s="60"/>
      <c r="D378" s="61"/>
      <c r="E378" s="61"/>
      <c r="H378" s="61"/>
      <c r="I378" s="61"/>
      <c r="Q378" s="62"/>
      <c r="R378" s="63"/>
      <c r="S378" s="64"/>
    </row>
    <row r="379" spans="2:19" s="59" customFormat="1" x14ac:dyDescent="0.25">
      <c r="B379" s="60"/>
      <c r="D379" s="61"/>
      <c r="E379" s="61"/>
      <c r="H379" s="61"/>
      <c r="I379" s="61"/>
      <c r="Q379" s="62"/>
      <c r="R379" s="63"/>
      <c r="S379" s="64"/>
    </row>
    <row r="380" spans="2:19" s="59" customFormat="1" x14ac:dyDescent="0.25">
      <c r="B380" s="60"/>
      <c r="D380" s="61"/>
      <c r="E380" s="61"/>
      <c r="H380" s="61"/>
      <c r="I380" s="61"/>
      <c r="Q380" s="62"/>
      <c r="R380" s="63"/>
      <c r="S380" s="64"/>
    </row>
    <row r="381" spans="2:19" s="59" customFormat="1" x14ac:dyDescent="0.25">
      <c r="B381" s="60"/>
      <c r="D381" s="61"/>
      <c r="E381" s="61"/>
      <c r="H381" s="61"/>
      <c r="I381" s="61"/>
      <c r="Q381" s="62"/>
      <c r="R381" s="63"/>
      <c r="S381" s="64"/>
    </row>
    <row r="382" spans="2:19" s="59" customFormat="1" x14ac:dyDescent="0.25">
      <c r="B382" s="60"/>
      <c r="D382" s="61"/>
      <c r="E382" s="61"/>
      <c r="H382" s="61"/>
      <c r="I382" s="61"/>
      <c r="Q382" s="62"/>
      <c r="R382" s="63"/>
      <c r="S382" s="64"/>
    </row>
    <row r="383" spans="2:19" s="59" customFormat="1" x14ac:dyDescent="0.25">
      <c r="B383" s="60"/>
      <c r="D383" s="61"/>
      <c r="E383" s="61"/>
      <c r="H383" s="61"/>
      <c r="I383" s="61"/>
      <c r="Q383" s="62"/>
      <c r="R383" s="63"/>
      <c r="S383" s="64"/>
    </row>
    <row r="384" spans="2:19" s="59" customFormat="1" x14ac:dyDescent="0.25">
      <c r="B384" s="60"/>
      <c r="D384" s="61"/>
      <c r="E384" s="61"/>
      <c r="H384" s="61"/>
      <c r="I384" s="61"/>
      <c r="Q384" s="62"/>
      <c r="R384" s="63"/>
      <c r="S384" s="64"/>
    </row>
    <row r="385" spans="2:19" s="59" customFormat="1" x14ac:dyDescent="0.25">
      <c r="B385" s="60"/>
      <c r="D385" s="61"/>
      <c r="E385" s="61"/>
      <c r="H385" s="61"/>
      <c r="I385" s="61"/>
      <c r="Q385" s="62"/>
      <c r="R385" s="63"/>
      <c r="S385" s="64"/>
    </row>
    <row r="386" spans="2:19" s="59" customFormat="1" x14ac:dyDescent="0.25">
      <c r="B386" s="60"/>
      <c r="D386" s="61"/>
      <c r="E386" s="61"/>
      <c r="H386" s="61"/>
      <c r="I386" s="61"/>
      <c r="Q386" s="62"/>
      <c r="R386" s="63"/>
      <c r="S386" s="64"/>
    </row>
    <row r="387" spans="2:19" s="59" customFormat="1" x14ac:dyDescent="0.25">
      <c r="B387" s="60"/>
      <c r="D387" s="61"/>
      <c r="E387" s="61"/>
      <c r="H387" s="61"/>
      <c r="I387" s="61"/>
      <c r="Q387" s="62"/>
      <c r="R387" s="63"/>
      <c r="S387" s="64"/>
    </row>
    <row r="388" spans="2:19" s="59" customFormat="1" x14ac:dyDescent="0.25">
      <c r="B388" s="60"/>
      <c r="D388" s="61"/>
      <c r="E388" s="61"/>
      <c r="H388" s="61"/>
      <c r="I388" s="61"/>
      <c r="Q388" s="62"/>
      <c r="R388" s="63"/>
      <c r="S388" s="64"/>
    </row>
    <row r="389" spans="2:19" s="59" customFormat="1" x14ac:dyDescent="0.25">
      <c r="B389" s="60"/>
      <c r="D389" s="61"/>
      <c r="E389" s="61"/>
      <c r="H389" s="61"/>
      <c r="I389" s="61"/>
      <c r="Q389" s="62"/>
      <c r="R389" s="63"/>
      <c r="S389" s="64"/>
    </row>
    <row r="390" spans="2:19" s="59" customFormat="1" x14ac:dyDescent="0.25">
      <c r="B390" s="60"/>
      <c r="D390" s="61"/>
      <c r="E390" s="61"/>
      <c r="H390" s="61"/>
      <c r="I390" s="61"/>
      <c r="Q390" s="62"/>
      <c r="R390" s="63"/>
      <c r="S390" s="64"/>
    </row>
    <row r="391" spans="2:19" s="59" customFormat="1" x14ac:dyDescent="0.25">
      <c r="B391" s="60"/>
      <c r="D391" s="61"/>
      <c r="E391" s="61"/>
      <c r="H391" s="61"/>
      <c r="I391" s="61"/>
      <c r="Q391" s="62"/>
      <c r="R391" s="63"/>
      <c r="S391" s="64"/>
    </row>
    <row r="392" spans="2:19" s="59" customFormat="1" x14ac:dyDescent="0.25">
      <c r="B392" s="60"/>
      <c r="D392" s="61"/>
      <c r="E392" s="61"/>
      <c r="H392" s="61"/>
      <c r="I392" s="61"/>
      <c r="Q392" s="62"/>
      <c r="R392" s="63"/>
      <c r="S392" s="64"/>
    </row>
    <row r="393" spans="2:19" s="59" customFormat="1" x14ac:dyDescent="0.25">
      <c r="B393" s="60"/>
      <c r="D393" s="61"/>
      <c r="E393" s="61"/>
      <c r="H393" s="61"/>
      <c r="I393" s="61"/>
      <c r="Q393" s="62"/>
      <c r="R393" s="63"/>
      <c r="S393" s="64"/>
    </row>
    <row r="394" spans="2:19" s="59" customFormat="1" x14ac:dyDescent="0.25">
      <c r="B394" s="60"/>
      <c r="D394" s="61"/>
      <c r="E394" s="61"/>
      <c r="H394" s="61"/>
      <c r="I394" s="61"/>
      <c r="Q394" s="62"/>
      <c r="R394" s="63"/>
      <c r="S394" s="64"/>
    </row>
    <row r="395" spans="2:19" s="59" customFormat="1" x14ac:dyDescent="0.25">
      <c r="B395" s="60"/>
      <c r="D395" s="61"/>
      <c r="E395" s="61"/>
      <c r="H395" s="61"/>
      <c r="I395" s="61"/>
      <c r="Q395" s="62"/>
      <c r="R395" s="63"/>
      <c r="S395" s="64"/>
    </row>
    <row r="396" spans="2:19" s="59" customFormat="1" x14ac:dyDescent="0.25">
      <c r="B396" s="60"/>
      <c r="D396" s="61"/>
      <c r="E396" s="61"/>
      <c r="H396" s="61"/>
      <c r="I396" s="61"/>
      <c r="Q396" s="62"/>
      <c r="R396" s="63"/>
      <c r="S396" s="64"/>
    </row>
    <row r="397" spans="2:19" s="59" customFormat="1" x14ac:dyDescent="0.25">
      <c r="B397" s="60"/>
      <c r="D397" s="61"/>
      <c r="E397" s="61"/>
      <c r="H397" s="61"/>
      <c r="I397" s="61"/>
      <c r="Q397" s="62"/>
      <c r="R397" s="63"/>
      <c r="S397" s="64"/>
    </row>
    <row r="398" spans="2:19" s="59" customFormat="1" x14ac:dyDescent="0.25">
      <c r="B398" s="60"/>
      <c r="D398" s="61"/>
      <c r="E398" s="61"/>
      <c r="H398" s="61"/>
      <c r="I398" s="61"/>
      <c r="Q398" s="62"/>
      <c r="R398" s="63"/>
      <c r="S398" s="64"/>
    </row>
    <row r="399" spans="2:19" s="59" customFormat="1" x14ac:dyDescent="0.25">
      <c r="B399" s="60"/>
      <c r="D399" s="61"/>
      <c r="E399" s="61"/>
      <c r="H399" s="61"/>
      <c r="I399" s="61"/>
      <c r="Q399" s="62"/>
      <c r="R399" s="63"/>
      <c r="S399" s="64"/>
    </row>
    <row r="400" spans="2:19" s="59" customFormat="1" x14ac:dyDescent="0.25">
      <c r="B400" s="60"/>
      <c r="D400" s="61"/>
      <c r="E400" s="61"/>
      <c r="H400" s="61"/>
      <c r="I400" s="61"/>
      <c r="Q400" s="62"/>
      <c r="R400" s="63"/>
      <c r="S400" s="64"/>
    </row>
    <row r="401" spans="2:19" s="59" customFormat="1" x14ac:dyDescent="0.25">
      <c r="B401" s="60"/>
      <c r="D401" s="61"/>
      <c r="E401" s="61"/>
      <c r="H401" s="61"/>
      <c r="I401" s="61"/>
      <c r="Q401" s="62"/>
      <c r="R401" s="63"/>
      <c r="S401" s="64"/>
    </row>
    <row r="402" spans="2:19" s="59" customFormat="1" x14ac:dyDescent="0.25">
      <c r="B402" s="60"/>
      <c r="D402" s="61"/>
      <c r="E402" s="61"/>
      <c r="H402" s="61"/>
      <c r="I402" s="61"/>
      <c r="Q402" s="62"/>
      <c r="R402" s="63"/>
      <c r="S402" s="64"/>
    </row>
    <row r="403" spans="2:19" s="59" customFormat="1" x14ac:dyDescent="0.25">
      <c r="B403" s="60"/>
      <c r="D403" s="61"/>
      <c r="E403" s="61"/>
      <c r="H403" s="61"/>
      <c r="I403" s="61"/>
      <c r="Q403" s="62"/>
      <c r="R403" s="63"/>
      <c r="S403" s="64"/>
    </row>
    <row r="404" spans="2:19" s="59" customFormat="1" x14ac:dyDescent="0.25">
      <c r="B404" s="60"/>
      <c r="D404" s="61"/>
      <c r="E404" s="61"/>
      <c r="H404" s="61"/>
      <c r="I404" s="61"/>
      <c r="Q404" s="62"/>
      <c r="R404" s="63"/>
      <c r="S404" s="64"/>
    </row>
    <row r="405" spans="2:19" s="59" customFormat="1" x14ac:dyDescent="0.25">
      <c r="B405" s="60"/>
      <c r="D405" s="61"/>
      <c r="E405" s="61"/>
      <c r="H405" s="61"/>
      <c r="I405" s="61"/>
      <c r="Q405" s="62"/>
      <c r="R405" s="63"/>
      <c r="S405" s="64"/>
    </row>
    <row r="406" spans="2:19" s="59" customFormat="1" x14ac:dyDescent="0.25">
      <c r="B406" s="60"/>
      <c r="D406" s="61"/>
      <c r="E406" s="61"/>
      <c r="H406" s="61"/>
      <c r="I406" s="61"/>
      <c r="Q406" s="62"/>
      <c r="R406" s="63"/>
      <c r="S406" s="64"/>
    </row>
    <row r="407" spans="2:19" s="59" customFormat="1" x14ac:dyDescent="0.25">
      <c r="B407" s="60"/>
      <c r="D407" s="61"/>
      <c r="E407" s="61"/>
      <c r="H407" s="61"/>
      <c r="I407" s="61"/>
      <c r="Q407" s="62"/>
      <c r="R407" s="63"/>
      <c r="S407" s="64"/>
    </row>
    <row r="408" spans="2:19" s="59" customFormat="1" x14ac:dyDescent="0.25">
      <c r="B408" s="60"/>
      <c r="D408" s="61"/>
      <c r="E408" s="61"/>
      <c r="H408" s="61"/>
      <c r="I408" s="61"/>
      <c r="Q408" s="62"/>
      <c r="R408" s="63"/>
      <c r="S408" s="64"/>
    </row>
    <row r="409" spans="2:19" s="59" customFormat="1" x14ac:dyDescent="0.25">
      <c r="B409" s="60"/>
      <c r="D409" s="61"/>
      <c r="E409" s="61"/>
      <c r="H409" s="61"/>
      <c r="I409" s="61"/>
      <c r="Q409" s="62"/>
      <c r="R409" s="63"/>
      <c r="S409" s="64"/>
    </row>
    <row r="410" spans="2:19" s="59" customFormat="1" x14ac:dyDescent="0.25">
      <c r="B410" s="60"/>
      <c r="D410" s="61"/>
      <c r="E410" s="61"/>
      <c r="H410" s="61"/>
      <c r="I410" s="61"/>
      <c r="Q410" s="62"/>
      <c r="R410" s="63"/>
      <c r="S410" s="64"/>
    </row>
    <row r="411" spans="2:19" s="59" customFormat="1" x14ac:dyDescent="0.25">
      <c r="B411" s="60"/>
      <c r="D411" s="61"/>
      <c r="E411" s="61"/>
      <c r="H411" s="61"/>
      <c r="I411" s="61"/>
      <c r="Q411" s="62"/>
      <c r="R411" s="63"/>
      <c r="S411" s="64"/>
    </row>
    <row r="412" spans="2:19" s="59" customFormat="1" x14ac:dyDescent="0.25">
      <c r="B412" s="60"/>
      <c r="D412" s="61"/>
      <c r="E412" s="61"/>
      <c r="H412" s="61"/>
      <c r="I412" s="61"/>
      <c r="Q412" s="62"/>
      <c r="R412" s="63"/>
      <c r="S412" s="64"/>
    </row>
    <row r="413" spans="2:19" s="59" customFormat="1" x14ac:dyDescent="0.25">
      <c r="B413" s="60"/>
      <c r="D413" s="61"/>
      <c r="E413" s="61"/>
      <c r="H413" s="61"/>
      <c r="I413" s="61"/>
      <c r="Q413" s="62"/>
      <c r="R413" s="63"/>
      <c r="S413" s="64"/>
    </row>
    <row r="414" spans="2:19" s="59" customFormat="1" x14ac:dyDescent="0.25">
      <c r="B414" s="60"/>
      <c r="D414" s="61"/>
      <c r="E414" s="61"/>
      <c r="H414" s="61"/>
      <c r="I414" s="61"/>
      <c r="Q414" s="62"/>
      <c r="R414" s="63"/>
      <c r="S414" s="64"/>
    </row>
    <row r="415" spans="2:19" s="59" customFormat="1" x14ac:dyDescent="0.25">
      <c r="B415" s="60"/>
      <c r="D415" s="61"/>
      <c r="E415" s="61"/>
      <c r="H415" s="61"/>
      <c r="I415" s="61"/>
      <c r="Q415" s="62"/>
      <c r="R415" s="63"/>
      <c r="S415" s="64"/>
    </row>
    <row r="416" spans="2:19" s="59" customFormat="1" x14ac:dyDescent="0.25">
      <c r="B416" s="60"/>
      <c r="D416" s="61"/>
      <c r="E416" s="61"/>
      <c r="H416" s="61"/>
      <c r="I416" s="61"/>
      <c r="Q416" s="62"/>
      <c r="R416" s="63"/>
      <c r="S416" s="64"/>
    </row>
    <row r="417" spans="2:19" s="59" customFormat="1" x14ac:dyDescent="0.25">
      <c r="B417" s="60"/>
      <c r="D417" s="61"/>
      <c r="E417" s="61"/>
      <c r="H417" s="61"/>
      <c r="I417" s="61"/>
      <c r="Q417" s="62"/>
      <c r="R417" s="63"/>
      <c r="S417" s="64"/>
    </row>
    <row r="418" spans="2:19" s="59" customFormat="1" x14ac:dyDescent="0.25">
      <c r="B418" s="60"/>
      <c r="D418" s="61"/>
      <c r="E418" s="61"/>
      <c r="H418" s="61"/>
      <c r="I418" s="61"/>
      <c r="Q418" s="62"/>
      <c r="R418" s="63"/>
      <c r="S418" s="64"/>
    </row>
    <row r="419" spans="2:19" s="59" customFormat="1" x14ac:dyDescent="0.25">
      <c r="B419" s="60"/>
      <c r="D419" s="61"/>
      <c r="E419" s="61"/>
      <c r="H419" s="61"/>
      <c r="I419" s="61"/>
      <c r="Q419" s="62"/>
      <c r="R419" s="63"/>
      <c r="S419" s="64"/>
    </row>
    <row r="420" spans="2:19" s="59" customFormat="1" x14ac:dyDescent="0.25">
      <c r="B420" s="60"/>
      <c r="D420" s="61"/>
      <c r="E420" s="61"/>
      <c r="H420" s="61"/>
      <c r="I420" s="61"/>
      <c r="Q420" s="62"/>
      <c r="R420" s="63"/>
      <c r="S420" s="64"/>
    </row>
    <row r="421" spans="2:19" s="59" customFormat="1" x14ac:dyDescent="0.25">
      <c r="B421" s="60"/>
      <c r="D421" s="61"/>
      <c r="E421" s="61"/>
      <c r="H421" s="61"/>
      <c r="I421" s="61"/>
      <c r="Q421" s="62"/>
      <c r="R421" s="63"/>
      <c r="S421" s="64"/>
    </row>
    <row r="422" spans="2:19" s="59" customFormat="1" x14ac:dyDescent="0.25">
      <c r="B422" s="60"/>
      <c r="D422" s="61"/>
      <c r="E422" s="61"/>
      <c r="H422" s="61"/>
      <c r="I422" s="61"/>
      <c r="Q422" s="62"/>
      <c r="R422" s="63"/>
      <c r="S422" s="64"/>
    </row>
    <row r="423" spans="2:19" s="59" customFormat="1" x14ac:dyDescent="0.25">
      <c r="B423" s="60"/>
      <c r="D423" s="61"/>
      <c r="E423" s="61"/>
      <c r="H423" s="61"/>
      <c r="I423" s="61"/>
      <c r="Q423" s="62"/>
      <c r="R423" s="63"/>
      <c r="S423" s="64"/>
    </row>
    <row r="424" spans="2:19" s="59" customFormat="1" x14ac:dyDescent="0.25">
      <c r="B424" s="60"/>
      <c r="D424" s="61"/>
      <c r="E424" s="61"/>
      <c r="H424" s="61"/>
      <c r="I424" s="61"/>
      <c r="Q424" s="62"/>
      <c r="R424" s="63"/>
      <c r="S424" s="64"/>
    </row>
    <row r="425" spans="2:19" s="59" customFormat="1" x14ac:dyDescent="0.25">
      <c r="B425" s="60"/>
      <c r="D425" s="61"/>
      <c r="E425" s="61"/>
      <c r="H425" s="61"/>
      <c r="I425" s="61"/>
      <c r="Q425" s="62"/>
      <c r="R425" s="63"/>
      <c r="S425" s="64"/>
    </row>
    <row r="426" spans="2:19" s="59" customFormat="1" x14ac:dyDescent="0.25">
      <c r="B426" s="60"/>
      <c r="D426" s="61"/>
      <c r="E426" s="61"/>
      <c r="H426" s="61"/>
      <c r="I426" s="61"/>
      <c r="Q426" s="62"/>
      <c r="R426" s="63"/>
      <c r="S426" s="64"/>
    </row>
    <row r="427" spans="2:19" s="59" customFormat="1" x14ac:dyDescent="0.25">
      <c r="B427" s="60"/>
      <c r="D427" s="61"/>
      <c r="E427" s="61"/>
      <c r="H427" s="61"/>
      <c r="I427" s="61"/>
      <c r="Q427" s="62"/>
      <c r="R427" s="63"/>
      <c r="S427" s="64"/>
    </row>
    <row r="428" spans="2:19" s="59" customFormat="1" x14ac:dyDescent="0.25">
      <c r="B428" s="60"/>
      <c r="D428" s="61"/>
      <c r="E428" s="61"/>
      <c r="H428" s="61"/>
      <c r="I428" s="61"/>
      <c r="Q428" s="62"/>
      <c r="R428" s="63"/>
      <c r="S428" s="64"/>
    </row>
    <row r="429" spans="2:19" s="59" customFormat="1" x14ac:dyDescent="0.25">
      <c r="B429" s="60"/>
      <c r="D429" s="61"/>
      <c r="E429" s="61"/>
      <c r="H429" s="61"/>
      <c r="I429" s="61"/>
      <c r="Q429" s="62"/>
      <c r="R429" s="63"/>
      <c r="S429" s="64"/>
    </row>
    <row r="430" spans="2:19" s="59" customFormat="1" x14ac:dyDescent="0.25">
      <c r="B430" s="60"/>
      <c r="D430" s="61"/>
      <c r="E430" s="61"/>
      <c r="H430" s="61"/>
      <c r="I430" s="61"/>
      <c r="Q430" s="62"/>
      <c r="R430" s="63"/>
      <c r="S430" s="64"/>
    </row>
    <row r="431" spans="2:19" s="59" customFormat="1" x14ac:dyDescent="0.25">
      <c r="B431" s="60"/>
      <c r="D431" s="61"/>
      <c r="E431" s="61"/>
      <c r="H431" s="61"/>
      <c r="I431" s="61"/>
      <c r="Q431" s="62"/>
      <c r="R431" s="63"/>
      <c r="S431" s="64"/>
    </row>
    <row r="432" spans="2:19" s="59" customFormat="1" x14ac:dyDescent="0.25">
      <c r="B432" s="60"/>
      <c r="D432" s="61"/>
      <c r="E432" s="61"/>
      <c r="H432" s="61"/>
      <c r="I432" s="61"/>
      <c r="Q432" s="62"/>
      <c r="R432" s="63"/>
      <c r="S432" s="64"/>
    </row>
    <row r="433" spans="2:19" s="59" customFormat="1" x14ac:dyDescent="0.25">
      <c r="B433" s="60"/>
      <c r="D433" s="61"/>
      <c r="E433" s="61"/>
      <c r="H433" s="61"/>
      <c r="I433" s="61"/>
      <c r="Q433" s="62"/>
      <c r="R433" s="63"/>
      <c r="S433" s="64"/>
    </row>
    <row r="434" spans="2:19" s="59" customFormat="1" x14ac:dyDescent="0.25">
      <c r="B434" s="60"/>
      <c r="D434" s="61"/>
      <c r="E434" s="61"/>
      <c r="H434" s="61"/>
      <c r="I434" s="61"/>
      <c r="Q434" s="62"/>
      <c r="R434" s="63"/>
      <c r="S434" s="64"/>
    </row>
    <row r="435" spans="2:19" s="59" customFormat="1" x14ac:dyDescent="0.25">
      <c r="B435" s="60"/>
      <c r="D435" s="61"/>
      <c r="E435" s="61"/>
      <c r="H435" s="61"/>
      <c r="I435" s="61"/>
      <c r="Q435" s="62"/>
      <c r="R435" s="63"/>
      <c r="S435" s="64"/>
    </row>
    <row r="436" spans="2:19" s="59" customFormat="1" x14ac:dyDescent="0.25">
      <c r="B436" s="60"/>
      <c r="D436" s="61"/>
      <c r="E436" s="61"/>
      <c r="H436" s="61"/>
      <c r="I436" s="61"/>
      <c r="Q436" s="62"/>
      <c r="R436" s="63"/>
      <c r="S436" s="64"/>
    </row>
    <row r="437" spans="2:19" s="59" customFormat="1" x14ac:dyDescent="0.25">
      <c r="B437" s="60"/>
      <c r="D437" s="61"/>
      <c r="E437" s="61"/>
      <c r="H437" s="61"/>
      <c r="I437" s="61"/>
      <c r="Q437" s="62"/>
      <c r="R437" s="63"/>
      <c r="S437" s="64"/>
    </row>
    <row r="438" spans="2:19" s="59" customFormat="1" x14ac:dyDescent="0.25">
      <c r="B438" s="60"/>
      <c r="D438" s="61"/>
      <c r="E438" s="61"/>
      <c r="H438" s="61"/>
      <c r="I438" s="61"/>
      <c r="Q438" s="62"/>
      <c r="R438" s="63"/>
      <c r="S438" s="64"/>
    </row>
    <row r="439" spans="2:19" s="59" customFormat="1" x14ac:dyDescent="0.25">
      <c r="B439" s="60"/>
      <c r="D439" s="61"/>
      <c r="E439" s="61"/>
      <c r="H439" s="61"/>
      <c r="I439" s="61"/>
      <c r="Q439" s="62"/>
      <c r="R439" s="63"/>
      <c r="S439" s="64"/>
    </row>
    <row r="440" spans="2:19" s="59" customFormat="1" x14ac:dyDescent="0.25">
      <c r="B440" s="60"/>
      <c r="D440" s="61"/>
      <c r="E440" s="61"/>
      <c r="H440" s="61"/>
      <c r="I440" s="61"/>
      <c r="Q440" s="62"/>
      <c r="R440" s="63"/>
      <c r="S440" s="64"/>
    </row>
    <row r="441" spans="2:19" s="59" customFormat="1" x14ac:dyDescent="0.25">
      <c r="B441" s="60"/>
      <c r="D441" s="61"/>
      <c r="E441" s="61"/>
      <c r="H441" s="61"/>
      <c r="I441" s="61"/>
      <c r="Q441" s="62"/>
      <c r="R441" s="63"/>
      <c r="S441" s="64"/>
    </row>
    <row r="442" spans="2:19" s="59" customFormat="1" x14ac:dyDescent="0.25">
      <c r="B442" s="60"/>
      <c r="D442" s="61"/>
      <c r="E442" s="61"/>
      <c r="H442" s="61"/>
      <c r="I442" s="61"/>
      <c r="Q442" s="62"/>
      <c r="R442" s="63"/>
      <c r="S442" s="64"/>
    </row>
    <row r="443" spans="2:19" s="59" customFormat="1" x14ac:dyDescent="0.25">
      <c r="B443" s="60"/>
      <c r="D443" s="61"/>
      <c r="E443" s="61"/>
      <c r="H443" s="61"/>
      <c r="I443" s="61"/>
      <c r="Q443" s="62"/>
      <c r="R443" s="63"/>
      <c r="S443" s="64"/>
    </row>
    <row r="444" spans="2:19" s="59" customFormat="1" x14ac:dyDescent="0.25">
      <c r="B444" s="60"/>
      <c r="D444" s="61"/>
      <c r="E444" s="61"/>
      <c r="H444" s="61"/>
      <c r="I444" s="61"/>
      <c r="Q444" s="62"/>
      <c r="R444" s="63"/>
      <c r="S444" s="64"/>
    </row>
    <row r="445" spans="2:19" s="59" customFormat="1" x14ac:dyDescent="0.25">
      <c r="B445" s="60"/>
      <c r="D445" s="61"/>
      <c r="E445" s="61"/>
      <c r="H445" s="61"/>
      <c r="I445" s="61"/>
      <c r="Q445" s="62"/>
      <c r="R445" s="63"/>
      <c r="S445" s="64"/>
    </row>
    <row r="446" spans="2:19" s="59" customFormat="1" x14ac:dyDescent="0.25">
      <c r="B446" s="60"/>
      <c r="D446" s="61"/>
      <c r="E446" s="61"/>
      <c r="H446" s="61"/>
      <c r="I446" s="61"/>
      <c r="Q446" s="62"/>
      <c r="R446" s="63"/>
      <c r="S446" s="64"/>
    </row>
    <row r="447" spans="2:19" s="59" customFormat="1" x14ac:dyDescent="0.25">
      <c r="B447" s="60"/>
      <c r="D447" s="61"/>
      <c r="E447" s="61"/>
      <c r="H447" s="61"/>
      <c r="I447" s="61"/>
      <c r="Q447" s="62"/>
      <c r="R447" s="63"/>
      <c r="S447" s="64"/>
    </row>
    <row r="448" spans="2:19" s="59" customFormat="1" x14ac:dyDescent="0.25">
      <c r="B448" s="60"/>
      <c r="D448" s="61"/>
      <c r="E448" s="61"/>
      <c r="H448" s="61"/>
      <c r="I448" s="61"/>
      <c r="Q448" s="62"/>
      <c r="R448" s="63"/>
      <c r="S448" s="64"/>
    </row>
    <row r="449" spans="2:19" s="59" customFormat="1" x14ac:dyDescent="0.25">
      <c r="B449" s="60"/>
      <c r="D449" s="61"/>
      <c r="E449" s="61"/>
      <c r="H449" s="61"/>
      <c r="I449" s="61"/>
      <c r="Q449" s="62"/>
      <c r="R449" s="63"/>
      <c r="S449" s="64"/>
    </row>
    <row r="450" spans="2:19" s="59" customFormat="1" x14ac:dyDescent="0.25">
      <c r="B450" s="60"/>
      <c r="D450" s="61"/>
      <c r="E450" s="61"/>
      <c r="H450" s="61"/>
      <c r="I450" s="61"/>
      <c r="Q450" s="62"/>
      <c r="R450" s="63"/>
      <c r="S450" s="64"/>
    </row>
    <row r="451" spans="2:19" s="59" customFormat="1" x14ac:dyDescent="0.25">
      <c r="B451" s="60"/>
      <c r="D451" s="61"/>
      <c r="E451" s="61"/>
      <c r="H451" s="61"/>
      <c r="I451" s="61"/>
      <c r="Q451" s="62"/>
      <c r="R451" s="63"/>
      <c r="S451" s="64"/>
    </row>
    <row r="452" spans="2:19" s="59" customFormat="1" x14ac:dyDescent="0.25">
      <c r="B452" s="60"/>
      <c r="D452" s="61"/>
      <c r="E452" s="61"/>
      <c r="H452" s="61"/>
      <c r="I452" s="61"/>
      <c r="Q452" s="62"/>
      <c r="R452" s="63"/>
      <c r="S452" s="64"/>
    </row>
    <row r="453" spans="2:19" s="59" customFormat="1" x14ac:dyDescent="0.25">
      <c r="B453" s="60"/>
      <c r="D453" s="61"/>
      <c r="E453" s="61"/>
      <c r="H453" s="61"/>
      <c r="I453" s="61"/>
      <c r="Q453" s="62"/>
      <c r="R453" s="63"/>
      <c r="S453" s="64"/>
    </row>
    <row r="454" spans="2:19" s="59" customFormat="1" x14ac:dyDescent="0.25">
      <c r="B454" s="60"/>
      <c r="D454" s="61"/>
      <c r="E454" s="61"/>
      <c r="H454" s="61"/>
      <c r="I454" s="61"/>
      <c r="Q454" s="62"/>
      <c r="R454" s="63"/>
      <c r="S454" s="64"/>
    </row>
    <row r="455" spans="2:19" s="59" customFormat="1" x14ac:dyDescent="0.25">
      <c r="B455" s="60"/>
      <c r="D455" s="61"/>
      <c r="E455" s="61"/>
      <c r="H455" s="61"/>
      <c r="I455" s="61"/>
      <c r="Q455" s="62"/>
      <c r="R455" s="63"/>
      <c r="S455" s="64"/>
    </row>
    <row r="456" spans="2:19" s="59" customFormat="1" x14ac:dyDescent="0.25">
      <c r="B456" s="60"/>
      <c r="D456" s="61"/>
      <c r="E456" s="61"/>
      <c r="H456" s="61"/>
      <c r="I456" s="61"/>
      <c r="Q456" s="62"/>
      <c r="R456" s="63"/>
      <c r="S456" s="64"/>
    </row>
    <row r="457" spans="2:19" s="59" customFormat="1" x14ac:dyDescent="0.25">
      <c r="B457" s="60"/>
      <c r="D457" s="61"/>
      <c r="E457" s="61"/>
      <c r="H457" s="61"/>
      <c r="I457" s="61"/>
      <c r="Q457" s="62"/>
      <c r="R457" s="63"/>
      <c r="S457" s="64"/>
    </row>
    <row r="458" spans="2:19" s="59" customFormat="1" x14ac:dyDescent="0.25">
      <c r="B458" s="60"/>
      <c r="D458" s="61"/>
      <c r="E458" s="61"/>
      <c r="H458" s="61"/>
      <c r="I458" s="61"/>
      <c r="Q458" s="62"/>
      <c r="R458" s="63"/>
      <c r="S458" s="64"/>
    </row>
    <row r="459" spans="2:19" s="59" customFormat="1" x14ac:dyDescent="0.25">
      <c r="B459" s="60"/>
      <c r="D459" s="61"/>
      <c r="E459" s="61"/>
      <c r="H459" s="61"/>
      <c r="I459" s="61"/>
      <c r="Q459" s="62"/>
      <c r="R459" s="63"/>
      <c r="S459" s="64"/>
    </row>
  </sheetData>
  <sheetProtection algorithmName="SHA-512" hashValue="u7bLsQJsdjuD/B+tmqsSmdZ7yZlXZ5ex+pEVlOMtwo7TZYKq7sVTs6KysYmjMnqaJFnm9PYyUrqzsVlvgez7ag==" saltValue="90WmAnPSE7tqAMDFBrea8Q==" spinCount="100000" sheet="1" objects="1" scenarios="1"/>
  <mergeCells count="75">
    <mergeCell ref="D42:F43"/>
    <mergeCell ref="J36:L37"/>
    <mergeCell ref="D33:F34"/>
    <mergeCell ref="C42:C43"/>
    <mergeCell ref="B33:B34"/>
    <mergeCell ref="B36:B37"/>
    <mergeCell ref="B39:B40"/>
    <mergeCell ref="B42:B43"/>
    <mergeCell ref="G39:I40"/>
    <mergeCell ref="D39:F40"/>
    <mergeCell ref="C39:C40"/>
    <mergeCell ref="G42:I43"/>
    <mergeCell ref="M12:M13"/>
    <mergeCell ref="J12:L13"/>
    <mergeCell ref="B28:B29"/>
    <mergeCell ref="B20:B22"/>
    <mergeCell ref="B16:B18"/>
    <mergeCell ref="B12:B14"/>
    <mergeCell ref="J16:J17"/>
    <mergeCell ref="B24:B26"/>
    <mergeCell ref="J26:L26"/>
    <mergeCell ref="J20:J21"/>
    <mergeCell ref="N24:N25"/>
    <mergeCell ref="O24:O25"/>
    <mergeCell ref="B31:S31"/>
    <mergeCell ref="C33:C34"/>
    <mergeCell ref="C36:C37"/>
    <mergeCell ref="G36:I37"/>
    <mergeCell ref="J33:L34"/>
    <mergeCell ref="C32:L32"/>
    <mergeCell ref="D36:F37"/>
    <mergeCell ref="G33:I34"/>
    <mergeCell ref="M24:M25"/>
    <mergeCell ref="J24:L25"/>
    <mergeCell ref="P20:P21"/>
    <mergeCell ref="K16:K17"/>
    <mergeCell ref="L16:L17"/>
    <mergeCell ref="M16:M17"/>
    <mergeCell ref="N16:N17"/>
    <mergeCell ref="O16:O17"/>
    <mergeCell ref="K20:K21"/>
    <mergeCell ref="L20:L21"/>
    <mergeCell ref="M20:M21"/>
    <mergeCell ref="C2:D2"/>
    <mergeCell ref="J14:L14"/>
    <mergeCell ref="J3:P3"/>
    <mergeCell ref="P4:P5"/>
    <mergeCell ref="P8:P9"/>
    <mergeCell ref="B3:C3"/>
    <mergeCell ref="B8:B10"/>
    <mergeCell ref="K4:K5"/>
    <mergeCell ref="L4:L5"/>
    <mergeCell ref="M4:M5"/>
    <mergeCell ref="K8:K9"/>
    <mergeCell ref="L8:L9"/>
    <mergeCell ref="M8:M9"/>
    <mergeCell ref="B4:B6"/>
    <mergeCell ref="J4:J5"/>
    <mergeCell ref="J8:J9"/>
    <mergeCell ref="O42:Q43"/>
    <mergeCell ref="N4:N5"/>
    <mergeCell ref="O4:O5"/>
    <mergeCell ref="N8:N9"/>
    <mergeCell ref="O8:O9"/>
    <mergeCell ref="N12:N13"/>
    <mergeCell ref="O12:O13"/>
    <mergeCell ref="O33:Q34"/>
    <mergeCell ref="O36:Q37"/>
    <mergeCell ref="O39:Q40"/>
    <mergeCell ref="O32:Q32"/>
    <mergeCell ref="N20:N21"/>
    <mergeCell ref="O20:O21"/>
    <mergeCell ref="P12:P13"/>
    <mergeCell ref="P16:P17"/>
    <mergeCell ref="P24:P25"/>
  </mergeCells>
  <conditionalFormatting sqref="R6">
    <cfRule type="cellIs" dxfId="3" priority="4" operator="lessThan">
      <formula>0</formula>
    </cfRule>
  </conditionalFormatting>
  <conditionalFormatting sqref="R10">
    <cfRule type="cellIs" dxfId="2" priority="3" operator="lessThan">
      <formula>0</formula>
    </cfRule>
  </conditionalFormatting>
  <conditionalFormatting sqref="R14">
    <cfRule type="cellIs" dxfId="1" priority="2" operator="lessThan">
      <formula>0</formula>
    </cfRule>
  </conditionalFormatting>
  <conditionalFormatting sqref="R18 R22 R26 R29">
    <cfRule type="cellIs" dxfId="0" priority="1" operator="lessThan">
      <formula>0</formula>
    </cfRule>
  </conditionalFormatting>
  <dataValidations count="2">
    <dataValidation type="whole" operator="greaterThanOrEqual" allowBlank="1" showInputMessage="1" showErrorMessage="1" error="Nur ganze Zahlen eintragen, bitte keine Nachkommastellen." sqref="F18 F16 F4:G10" xr:uid="{00000000-0002-0000-0100-000000000000}">
      <formula1>0</formula1>
    </dataValidation>
    <dataValidation type="whole" operator="greaterThanOrEqual" allowBlank="1" showInputMessage="1" showErrorMessage="1" error="Nur ganze Zahlen eintragen; bitte keine Nachkommastellen." sqref="K6 J10 K18:O18 J22 L22:O22 N6:O6 N10:O10" xr:uid="{00000000-0002-0000-0100-000001000000}">
      <formula1>0</formula1>
    </dataValidation>
  </dataValidations>
  <pageMargins left="0.23622047244094491" right="0.23622047244094491" top="0.74803149606299213" bottom="0.74803149606299213" header="0.31496062992125984" footer="0.31496062992125984"/>
  <pageSetup paperSize="9" scale="62" orientation="landscape" r:id="rId1"/>
  <headerFooter>
    <oddHeader>&amp;L       &amp;G&amp;C&amp;G</oddHeader>
    <oddFooter>&amp;R&amp;D</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dimension ref="A1:H29"/>
  <sheetViews>
    <sheetView showGridLines="0" view="pageBreakPreview" zoomScale="140" zoomScaleNormal="100" zoomScaleSheetLayoutView="140" workbookViewId="0">
      <selection activeCell="G17" sqref="G17"/>
    </sheetView>
  </sheetViews>
  <sheetFormatPr baseColWidth="10" defaultColWidth="11.5703125" defaultRowHeight="15" x14ac:dyDescent="0.25"/>
  <cols>
    <col min="1" max="1" width="0.85546875" style="20" customWidth="1"/>
    <col min="2" max="2" width="5.85546875" customWidth="1"/>
    <col min="3" max="3" width="20.85546875" customWidth="1"/>
    <col min="7" max="7" width="13.85546875" bestFit="1" customWidth="1"/>
  </cols>
  <sheetData>
    <row r="1" spans="2:8" x14ac:dyDescent="0.25">
      <c r="B1" s="131"/>
      <c r="C1" s="131"/>
      <c r="D1" s="131"/>
      <c r="E1" s="131"/>
      <c r="F1" s="131"/>
      <c r="G1" s="131"/>
      <c r="H1" s="131"/>
    </row>
    <row r="2" spans="2:8" x14ac:dyDescent="0.25">
      <c r="B2" s="132" t="s">
        <v>1138</v>
      </c>
      <c r="C2" s="133"/>
      <c r="D2" s="131"/>
      <c r="E2" s="131"/>
      <c r="F2" s="131"/>
      <c r="G2" s="131"/>
      <c r="H2" s="131"/>
    </row>
    <row r="3" spans="2:8" x14ac:dyDescent="0.25">
      <c r="B3" s="131"/>
      <c r="C3" s="132"/>
      <c r="D3" s="131"/>
      <c r="E3" s="131"/>
      <c r="F3" s="131"/>
      <c r="G3" s="131"/>
      <c r="H3" s="131"/>
    </row>
    <row r="4" spans="2:8" x14ac:dyDescent="0.25">
      <c r="B4" s="275"/>
      <c r="C4" s="275"/>
      <c r="D4" s="275" t="str">
        <f>IF(Übersicht!E3="","",Übersicht!E3)</f>
        <v>Bitte auswählen</v>
      </c>
      <c r="E4" s="275"/>
      <c r="F4" s="275"/>
      <c r="G4" s="275"/>
      <c r="H4" s="275"/>
    </row>
    <row r="5" spans="2:8" x14ac:dyDescent="0.25">
      <c r="B5" s="275" t="s">
        <v>32</v>
      </c>
      <c r="C5" s="275"/>
      <c r="D5" s="275" t="str">
        <f>Übersicht!E5</f>
        <v/>
      </c>
      <c r="E5" s="275"/>
      <c r="F5" s="275"/>
      <c r="G5" s="275"/>
      <c r="H5" s="275"/>
    </row>
    <row r="6" spans="2:8" x14ac:dyDescent="0.25">
      <c r="B6" s="275" t="s">
        <v>41</v>
      </c>
      <c r="C6" s="275"/>
      <c r="D6" s="275" t="str">
        <f>Übersicht!E7</f>
        <v/>
      </c>
      <c r="E6" s="275"/>
      <c r="F6" s="275"/>
      <c r="G6" s="275"/>
      <c r="H6" s="275"/>
    </row>
    <row r="7" spans="2:8" x14ac:dyDescent="0.25">
      <c r="B7" s="275" t="s">
        <v>415</v>
      </c>
      <c r="C7" s="275"/>
      <c r="D7" s="276" t="str">
        <f>IFERROR(IF(Übersicht!E9="","",Übersicht!E9),"")</f>
        <v/>
      </c>
      <c r="E7" s="276"/>
      <c r="F7" s="276"/>
      <c r="G7" s="276"/>
      <c r="H7" s="276"/>
    </row>
    <row r="8" spans="2:8" x14ac:dyDescent="0.25">
      <c r="B8" s="91"/>
      <c r="C8" s="91"/>
      <c r="D8" s="91"/>
      <c r="E8" s="131"/>
      <c r="F8" s="131"/>
      <c r="G8" s="131"/>
      <c r="H8" s="131"/>
    </row>
    <row r="9" spans="2:8" x14ac:dyDescent="0.25">
      <c r="B9" s="134" t="s">
        <v>407</v>
      </c>
      <c r="C9" s="134"/>
      <c r="D9" s="134"/>
      <c r="E9" s="134"/>
      <c r="F9" s="134"/>
      <c r="G9" s="134"/>
      <c r="H9" s="134"/>
    </row>
    <row r="10" spans="2:8" x14ac:dyDescent="0.25">
      <c r="B10" s="134"/>
      <c r="C10" s="134" t="s">
        <v>402</v>
      </c>
      <c r="D10" s="134"/>
      <c r="E10" s="134"/>
      <c r="F10" s="134"/>
      <c r="G10" s="50" t="str">
        <f>IF(Übersicht!G22="","",Übersicht!G22)</f>
        <v/>
      </c>
      <c r="H10" s="134"/>
    </row>
    <row r="11" spans="2:8" x14ac:dyDescent="0.25">
      <c r="B11" s="134"/>
      <c r="C11" s="134"/>
      <c r="D11" s="134"/>
      <c r="E11" s="134"/>
      <c r="F11" s="134"/>
      <c r="G11" s="134"/>
      <c r="H11" s="134"/>
    </row>
    <row r="12" spans="2:8" x14ac:dyDescent="0.25">
      <c r="B12" s="134" t="s">
        <v>408</v>
      </c>
      <c r="C12" s="134"/>
      <c r="D12" s="134"/>
      <c r="E12" s="134"/>
      <c r="F12" s="134"/>
      <c r="G12" s="134"/>
      <c r="H12" s="134"/>
    </row>
    <row r="13" spans="2:8" x14ac:dyDescent="0.25">
      <c r="B13" s="134"/>
      <c r="C13" s="134" t="s">
        <v>410</v>
      </c>
      <c r="D13" s="134"/>
      <c r="E13" s="134"/>
      <c r="F13" s="134"/>
      <c r="G13" s="50" t="str">
        <f>IFERROR(ROUND(G10*0.8,0),"")</f>
        <v/>
      </c>
      <c r="H13" s="134"/>
    </row>
    <row r="14" spans="2:8" x14ac:dyDescent="0.25">
      <c r="B14" s="134"/>
      <c r="C14" s="134"/>
      <c r="D14" s="134"/>
      <c r="E14" s="134"/>
      <c r="F14" s="134"/>
      <c r="G14" s="134"/>
      <c r="H14" s="134"/>
    </row>
    <row r="15" spans="2:8" x14ac:dyDescent="0.25">
      <c r="B15" s="134" t="s">
        <v>403</v>
      </c>
      <c r="C15" s="134"/>
      <c r="D15" s="134"/>
      <c r="E15" s="134"/>
      <c r="F15" s="134"/>
      <c r="G15" s="134"/>
      <c r="H15" s="134"/>
    </row>
    <row r="16" spans="2:8" x14ac:dyDescent="0.25">
      <c r="B16" s="134"/>
      <c r="C16" s="134" t="s">
        <v>411</v>
      </c>
      <c r="D16" s="134"/>
      <c r="E16" s="134"/>
      <c r="F16" s="134"/>
      <c r="G16" s="90"/>
      <c r="H16" s="134"/>
    </row>
    <row r="17" spans="2:8" x14ac:dyDescent="0.25">
      <c r="B17" s="134"/>
      <c r="C17" s="134" t="s">
        <v>412</v>
      </c>
      <c r="D17" s="134"/>
      <c r="E17" s="134"/>
      <c r="F17" s="134"/>
      <c r="G17" s="90"/>
      <c r="H17" s="134"/>
    </row>
    <row r="18" spans="2:8" x14ac:dyDescent="0.25">
      <c r="B18" s="134"/>
      <c r="C18" s="134" t="s">
        <v>404</v>
      </c>
      <c r="D18" s="134"/>
      <c r="E18" s="134"/>
      <c r="F18" s="134"/>
      <c r="G18" s="50">
        <f>G16+G17</f>
        <v>0</v>
      </c>
      <c r="H18" s="134"/>
    </row>
    <row r="19" spans="2:8" x14ac:dyDescent="0.25">
      <c r="B19" s="134"/>
      <c r="C19" s="134"/>
      <c r="D19" s="134"/>
      <c r="E19" s="134"/>
      <c r="F19" s="134"/>
      <c r="G19" s="134"/>
      <c r="H19" s="134"/>
    </row>
    <row r="20" spans="2:8" x14ac:dyDescent="0.25">
      <c r="B20" s="134"/>
      <c r="C20" s="134" t="s">
        <v>409</v>
      </c>
      <c r="D20" s="134"/>
      <c r="E20" s="134"/>
      <c r="F20" s="134"/>
      <c r="G20" s="135" t="str">
        <f>IFERROR((G16+G17)/G13,"")</f>
        <v/>
      </c>
      <c r="H20" s="134"/>
    </row>
    <row r="21" spans="2:8" x14ac:dyDescent="0.25">
      <c r="B21" s="134"/>
      <c r="C21" s="134"/>
      <c r="D21" s="134"/>
      <c r="E21" s="134"/>
      <c r="F21" s="134"/>
      <c r="G21" s="134"/>
      <c r="H21" s="136"/>
    </row>
    <row r="22" spans="2:8" x14ac:dyDescent="0.25">
      <c r="B22" s="134"/>
      <c r="C22" s="265" t="s">
        <v>405</v>
      </c>
      <c r="D22" s="266"/>
      <c r="E22" s="266"/>
      <c r="F22" s="266"/>
      <c r="G22" s="267"/>
      <c r="H22" s="137"/>
    </row>
    <row r="23" spans="2:8" ht="15" customHeight="1" x14ac:dyDescent="0.25">
      <c r="B23" s="134"/>
      <c r="C23" s="268" t="s">
        <v>406</v>
      </c>
      <c r="D23" s="269"/>
      <c r="E23" s="269"/>
      <c r="F23" s="269"/>
      <c r="G23" s="270"/>
      <c r="H23" s="138"/>
    </row>
    <row r="24" spans="2:8" x14ac:dyDescent="0.25">
      <c r="B24" s="134"/>
      <c r="C24" s="271"/>
      <c r="D24" s="272"/>
      <c r="E24" s="272"/>
      <c r="F24" s="272"/>
      <c r="G24" s="273"/>
      <c r="H24" s="138"/>
    </row>
    <row r="25" spans="2:8" x14ac:dyDescent="0.25">
      <c r="B25" s="134"/>
      <c r="C25" s="134"/>
      <c r="D25" s="134"/>
      <c r="E25" s="134"/>
      <c r="F25" s="134"/>
      <c r="G25" s="134"/>
      <c r="H25" s="134"/>
    </row>
    <row r="26" spans="2:8" x14ac:dyDescent="0.25">
      <c r="B26" s="134"/>
      <c r="C26" s="134"/>
      <c r="D26" s="134"/>
      <c r="E26" s="134"/>
      <c r="F26" s="134"/>
      <c r="G26" s="134"/>
      <c r="H26" s="134"/>
    </row>
    <row r="27" spans="2:8" x14ac:dyDescent="0.25">
      <c r="B27" s="134"/>
      <c r="C27" s="134"/>
      <c r="D27" s="134"/>
      <c r="E27" s="134"/>
      <c r="F27" s="134"/>
      <c r="G27" s="134"/>
      <c r="H27" s="134"/>
    </row>
    <row r="28" spans="2:8" ht="15" customHeight="1" x14ac:dyDescent="0.25">
      <c r="B28" s="139" t="s">
        <v>413</v>
      </c>
      <c r="C28" s="139"/>
      <c r="D28" s="134"/>
      <c r="E28" s="134"/>
      <c r="F28" s="274" t="s">
        <v>414</v>
      </c>
      <c r="G28" s="274"/>
      <c r="H28" s="274"/>
    </row>
    <row r="29" spans="2:8" x14ac:dyDescent="0.25">
      <c r="B29" s="134"/>
      <c r="C29" s="134"/>
      <c r="D29" s="134"/>
      <c r="E29" s="134"/>
      <c r="F29" s="138"/>
      <c r="G29" s="138"/>
      <c r="H29" s="138"/>
    </row>
  </sheetData>
  <sheetProtection algorithmName="SHA-512" hashValue="B2LIGgqzEXEvubGTpbScX/hXBq0y+TZMFpFbYmzk8/NymL8RRIcsrG6hLrzY5ZywF0K/xUWg0PfZlMSJ6kBJXg==" saltValue="6HHqOqgEm/ZO3rfeqbozcw==" spinCount="100000" sheet="1" objects="1" scenarios="1"/>
  <mergeCells count="11">
    <mergeCell ref="C22:G22"/>
    <mergeCell ref="C23:G24"/>
    <mergeCell ref="F28:H28"/>
    <mergeCell ref="B4:C4"/>
    <mergeCell ref="B5:C5"/>
    <mergeCell ref="B6:C6"/>
    <mergeCell ref="B7:C7"/>
    <mergeCell ref="D7:H7"/>
    <mergeCell ref="D6:H6"/>
    <mergeCell ref="D5:H5"/>
    <mergeCell ref="D4:H4"/>
  </mergeCells>
  <pageMargins left="0.70866141732283472" right="0.70866141732283472" top="0.78740157480314965" bottom="0.78740157480314965" header="0.31496062992125984" footer="0.31496062992125984"/>
  <pageSetup paperSize="9" scale="99" orientation="portrait" horizontalDpi="4294967294" verticalDpi="4294967294" r:id="rId1"/>
  <headerFooter>
    <oddHeader>&amp;L       &amp;G&amp;R&amp;G</oddHeader>
    <oddFooter>&amp;L&amp;D</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dimension ref="A1:U349"/>
  <sheetViews>
    <sheetView showFormulas="1" zoomScale="85" zoomScaleNormal="85" zoomScalePageLayoutView="200" workbookViewId="0">
      <pane xSplit="2" ySplit="1" topLeftCell="F2" activePane="bottomRight" state="frozen"/>
      <selection activeCell="C43" sqref="C43"/>
      <selection pane="topRight" activeCell="C43" sqref="C43"/>
      <selection pane="bottomLeft" activeCell="C43" sqref="C43"/>
      <selection pane="bottomRight" activeCell="A15" sqref="A15:XFD15"/>
    </sheetView>
  </sheetViews>
  <sheetFormatPr baseColWidth="10" defaultColWidth="11.5703125" defaultRowHeight="15" x14ac:dyDescent="0.25"/>
  <cols>
    <col min="1" max="1" width="19.140625" style="141" bestFit="1" customWidth="1"/>
    <col min="2" max="2" width="69.5703125" style="141" customWidth="1"/>
    <col min="3" max="3" width="28.140625" bestFit="1" customWidth="1"/>
    <col min="4" max="4" width="15.28515625" bestFit="1" customWidth="1"/>
    <col min="5" max="6" width="15" bestFit="1" customWidth="1"/>
    <col min="7" max="7" width="15.28515625" bestFit="1" customWidth="1"/>
    <col min="8" max="8" width="13.42578125" bestFit="1" customWidth="1"/>
    <col min="9" max="9" width="15" bestFit="1" customWidth="1"/>
    <col min="10" max="10" width="14.85546875" bestFit="1" customWidth="1"/>
    <col min="11" max="11" width="11.85546875" bestFit="1" customWidth="1"/>
    <col min="12" max="12" width="21.5703125" customWidth="1"/>
    <col min="13" max="13" width="14.85546875" bestFit="1" customWidth="1"/>
    <col min="14" max="14" width="14.85546875" customWidth="1"/>
    <col min="15" max="17" width="13.7109375" customWidth="1"/>
    <col min="18" max="18" width="23.28515625" bestFit="1" customWidth="1"/>
    <col min="19" max="19" width="33.85546875" customWidth="1"/>
    <col min="20" max="20" width="31.85546875" bestFit="1" customWidth="1"/>
    <col min="21" max="21" width="33.140625" bestFit="1" customWidth="1"/>
    <col min="22" max="22" width="30.140625" bestFit="1" customWidth="1"/>
  </cols>
  <sheetData>
    <row r="1" spans="1:21" x14ac:dyDescent="0.25">
      <c r="A1" s="141" t="s">
        <v>392</v>
      </c>
      <c r="B1" s="141" t="s">
        <v>365</v>
      </c>
      <c r="C1" t="s">
        <v>43</v>
      </c>
      <c r="D1" t="s">
        <v>366</v>
      </c>
      <c r="E1" t="s">
        <v>388</v>
      </c>
      <c r="F1" t="s">
        <v>367</v>
      </c>
      <c r="G1" t="s">
        <v>368</v>
      </c>
      <c r="H1" t="s">
        <v>389</v>
      </c>
      <c r="I1" t="s">
        <v>369</v>
      </c>
      <c r="J1" t="s">
        <v>370</v>
      </c>
      <c r="K1" t="s">
        <v>390</v>
      </c>
      <c r="L1" t="s">
        <v>393</v>
      </c>
      <c r="M1" t="s">
        <v>395</v>
      </c>
      <c r="N1" t="s">
        <v>391</v>
      </c>
      <c r="O1" t="s">
        <v>394</v>
      </c>
      <c r="P1" t="s">
        <v>371</v>
      </c>
      <c r="Q1" t="s">
        <v>372</v>
      </c>
      <c r="R1" t="s">
        <v>373</v>
      </c>
      <c r="S1" t="s">
        <v>374</v>
      </c>
      <c r="T1" t="s">
        <v>375</v>
      </c>
      <c r="U1" t="s">
        <v>425</v>
      </c>
    </row>
    <row r="2" spans="1:21" x14ac:dyDescent="0.25">
      <c r="A2" s="167" t="s">
        <v>1145</v>
      </c>
      <c r="B2" s="167"/>
      <c r="C2" s="167"/>
      <c r="D2" s="164" t="s">
        <v>1139</v>
      </c>
      <c r="E2" s="164" t="s">
        <v>1139</v>
      </c>
      <c r="F2" s="164" t="s">
        <v>1139</v>
      </c>
      <c r="G2" s="164" t="s">
        <v>1139</v>
      </c>
      <c r="H2" s="164" t="s">
        <v>1139</v>
      </c>
      <c r="I2" s="164" t="s">
        <v>1139</v>
      </c>
      <c r="J2" s="164" t="s">
        <v>1139</v>
      </c>
      <c r="K2" s="164" t="s">
        <v>1139</v>
      </c>
      <c r="L2" s="164" t="s">
        <v>1139</v>
      </c>
      <c r="M2" s="164" t="s">
        <v>1139</v>
      </c>
      <c r="N2" s="164" t="s">
        <v>1139</v>
      </c>
      <c r="O2" s="164" t="s">
        <v>1139</v>
      </c>
      <c r="P2" s="164" t="s">
        <v>1139</v>
      </c>
      <c r="Q2" s="164" t="s">
        <v>1139</v>
      </c>
      <c r="R2" s="164" t="s">
        <v>1139</v>
      </c>
      <c r="S2" s="164" t="s">
        <v>1139</v>
      </c>
      <c r="T2" s="164" t="s">
        <v>1139</v>
      </c>
      <c r="U2" s="164" t="s">
        <v>1139</v>
      </c>
    </row>
    <row r="3" spans="1:21" x14ac:dyDescent="0.25">
      <c r="A3" s="159" t="s">
        <v>44</v>
      </c>
      <c r="B3" s="158" t="s">
        <v>505</v>
      </c>
      <c r="C3" s="159" t="s">
        <v>756</v>
      </c>
      <c r="D3" s="159">
        <v>700</v>
      </c>
      <c r="E3" s="142">
        <v>3900</v>
      </c>
      <c r="F3" s="159">
        <v>1560000</v>
      </c>
      <c r="G3" s="159">
        <v>150</v>
      </c>
      <c r="H3" s="159">
        <v>700</v>
      </c>
      <c r="I3" s="159">
        <v>353500</v>
      </c>
      <c r="J3" s="159">
        <v>23</v>
      </c>
      <c r="K3" s="159">
        <v>69</v>
      </c>
      <c r="L3" s="142">
        <v>13800</v>
      </c>
      <c r="M3" s="159">
        <v>19</v>
      </c>
      <c r="N3" s="159">
        <v>133</v>
      </c>
      <c r="O3" s="143">
        <v>26600</v>
      </c>
      <c r="P3" s="159">
        <v>892</v>
      </c>
      <c r="Q3" s="143">
        <v>2147300</v>
      </c>
      <c r="R3" s="159">
        <v>193400</v>
      </c>
      <c r="S3" s="159">
        <v>892</v>
      </c>
      <c r="T3" s="159">
        <v>2147300</v>
      </c>
      <c r="U3" s="159">
        <f>T3*0.8</f>
        <v>1717840</v>
      </c>
    </row>
    <row r="4" spans="1:21" x14ac:dyDescent="0.25">
      <c r="A4" s="159" t="s">
        <v>45</v>
      </c>
      <c r="B4" s="158" t="s">
        <v>506</v>
      </c>
      <c r="C4" s="159" t="s">
        <v>757</v>
      </c>
      <c r="D4" s="159">
        <v>92</v>
      </c>
      <c r="E4" s="142">
        <v>534</v>
      </c>
      <c r="F4" s="159">
        <v>213600</v>
      </c>
      <c r="G4" s="159">
        <v>20</v>
      </c>
      <c r="H4" s="159">
        <v>96</v>
      </c>
      <c r="I4" s="159">
        <v>48480</v>
      </c>
      <c r="J4" s="159">
        <v>5</v>
      </c>
      <c r="K4" s="159">
        <v>25</v>
      </c>
      <c r="L4" s="142">
        <v>5000</v>
      </c>
      <c r="M4" s="159">
        <v>3</v>
      </c>
      <c r="N4" s="159">
        <v>15</v>
      </c>
      <c r="O4" s="143">
        <v>3000</v>
      </c>
      <c r="P4" s="159">
        <v>120</v>
      </c>
      <c r="Q4" s="143">
        <v>309080</v>
      </c>
      <c r="R4" s="159">
        <v>39000</v>
      </c>
      <c r="S4" s="159">
        <v>120</v>
      </c>
      <c r="T4" s="159">
        <v>309080</v>
      </c>
      <c r="U4" s="159">
        <f>T4*0.8</f>
        <v>247264</v>
      </c>
    </row>
    <row r="5" spans="1:21" x14ac:dyDescent="0.25">
      <c r="A5" s="159" t="s">
        <v>46</v>
      </c>
      <c r="B5" s="158" t="s">
        <v>507</v>
      </c>
      <c r="C5" s="159" t="s">
        <v>758</v>
      </c>
      <c r="D5" s="159">
        <v>39</v>
      </c>
      <c r="E5" s="142">
        <v>176</v>
      </c>
      <c r="F5" s="159">
        <v>70400</v>
      </c>
      <c r="G5" s="159">
        <v>0</v>
      </c>
      <c r="H5" s="159">
        <v>0</v>
      </c>
      <c r="I5" s="159">
        <v>0</v>
      </c>
      <c r="J5" s="159">
        <v>9</v>
      </c>
      <c r="K5" s="159">
        <v>36</v>
      </c>
      <c r="L5" s="142">
        <v>7200</v>
      </c>
      <c r="M5" s="159">
        <v>5</v>
      </c>
      <c r="N5" s="159">
        <v>20</v>
      </c>
      <c r="O5" s="143">
        <v>4000</v>
      </c>
      <c r="P5" s="159">
        <v>53</v>
      </c>
      <c r="Q5" s="143">
        <v>100150</v>
      </c>
      <c r="R5" s="159">
        <v>18550</v>
      </c>
      <c r="S5" s="159">
        <v>53</v>
      </c>
      <c r="T5" s="159">
        <v>100150</v>
      </c>
      <c r="U5" s="159">
        <f t="shared" ref="U5:U67" si="0">T5*0.8</f>
        <v>80120</v>
      </c>
    </row>
    <row r="6" spans="1:21" x14ac:dyDescent="0.25">
      <c r="A6" s="159" t="s">
        <v>47</v>
      </c>
      <c r="B6" s="158" t="s">
        <v>426</v>
      </c>
      <c r="C6" s="159" t="s">
        <v>759</v>
      </c>
      <c r="D6" s="159">
        <v>11</v>
      </c>
      <c r="E6" s="142">
        <v>44</v>
      </c>
      <c r="F6" s="159">
        <v>17600</v>
      </c>
      <c r="G6" s="159">
        <v>4</v>
      </c>
      <c r="H6" s="159">
        <v>8</v>
      </c>
      <c r="I6" s="159">
        <v>4040</v>
      </c>
      <c r="J6" s="159">
        <v>3</v>
      </c>
      <c r="K6" s="159">
        <v>15</v>
      </c>
      <c r="L6" s="142">
        <v>3000</v>
      </c>
      <c r="M6" s="159">
        <v>14</v>
      </c>
      <c r="N6" s="159">
        <v>70</v>
      </c>
      <c r="O6" s="143">
        <v>14000</v>
      </c>
      <c r="P6" s="159">
        <v>32</v>
      </c>
      <c r="Q6" s="143">
        <v>49840</v>
      </c>
      <c r="R6" s="159">
        <v>11200</v>
      </c>
      <c r="S6" s="159">
        <v>32</v>
      </c>
      <c r="T6" s="159">
        <v>49840</v>
      </c>
      <c r="U6" s="159">
        <f t="shared" si="0"/>
        <v>39872</v>
      </c>
    </row>
    <row r="7" spans="1:21" x14ac:dyDescent="0.25">
      <c r="A7" s="159" t="s">
        <v>376</v>
      </c>
      <c r="B7" s="158" t="s">
        <v>508</v>
      </c>
      <c r="C7" s="159" t="s">
        <v>760</v>
      </c>
      <c r="D7" s="159">
        <v>13</v>
      </c>
      <c r="E7" s="142">
        <v>52</v>
      </c>
      <c r="F7" s="159">
        <v>20800</v>
      </c>
      <c r="G7" s="159">
        <v>18</v>
      </c>
      <c r="H7" s="159">
        <v>86</v>
      </c>
      <c r="I7" s="159">
        <v>43430</v>
      </c>
      <c r="J7" s="159">
        <v>2</v>
      </c>
      <c r="K7" s="159">
        <v>10</v>
      </c>
      <c r="L7" s="142">
        <v>2000</v>
      </c>
      <c r="M7" s="159">
        <v>5</v>
      </c>
      <c r="N7" s="159">
        <v>15</v>
      </c>
      <c r="O7" s="143">
        <v>3000</v>
      </c>
      <c r="P7" s="159">
        <v>38</v>
      </c>
      <c r="Q7" s="143">
        <v>82530</v>
      </c>
      <c r="R7" s="159">
        <v>13300</v>
      </c>
      <c r="S7" s="159">
        <v>38</v>
      </c>
      <c r="T7" s="159">
        <v>82530</v>
      </c>
      <c r="U7" s="159">
        <f t="shared" si="0"/>
        <v>66024</v>
      </c>
    </row>
    <row r="8" spans="1:21" x14ac:dyDescent="0.25">
      <c r="A8" s="159" t="s">
        <v>48</v>
      </c>
      <c r="B8" s="158" t="s">
        <v>509</v>
      </c>
      <c r="C8" s="159" t="s">
        <v>761</v>
      </c>
      <c r="D8" s="159">
        <v>30</v>
      </c>
      <c r="E8" s="142">
        <v>150</v>
      </c>
      <c r="F8" s="159">
        <v>60000</v>
      </c>
      <c r="G8" s="159">
        <v>5</v>
      </c>
      <c r="H8" s="159">
        <v>24</v>
      </c>
      <c r="I8" s="159">
        <v>12120</v>
      </c>
      <c r="J8" s="159">
        <v>7</v>
      </c>
      <c r="K8" s="159">
        <v>35</v>
      </c>
      <c r="L8" s="142">
        <v>7000</v>
      </c>
      <c r="M8" s="159">
        <v>7</v>
      </c>
      <c r="N8" s="159">
        <v>35</v>
      </c>
      <c r="O8" s="143">
        <v>7000</v>
      </c>
      <c r="P8" s="159">
        <v>49</v>
      </c>
      <c r="Q8" s="143">
        <v>103270</v>
      </c>
      <c r="R8" s="159">
        <v>17150</v>
      </c>
      <c r="S8" s="159">
        <v>49</v>
      </c>
      <c r="T8" s="159">
        <v>103270</v>
      </c>
      <c r="U8" s="159">
        <f t="shared" si="0"/>
        <v>82616</v>
      </c>
    </row>
    <row r="9" spans="1:21" x14ac:dyDescent="0.25">
      <c r="A9" s="159" t="s">
        <v>49</v>
      </c>
      <c r="B9" s="158" t="s">
        <v>427</v>
      </c>
      <c r="C9" s="159" t="s">
        <v>762</v>
      </c>
      <c r="D9" s="159">
        <v>5</v>
      </c>
      <c r="E9" s="142">
        <v>29</v>
      </c>
      <c r="F9" s="159">
        <v>11600</v>
      </c>
      <c r="G9" s="159">
        <v>0</v>
      </c>
      <c r="H9" s="159">
        <v>0</v>
      </c>
      <c r="I9" s="159">
        <v>0</v>
      </c>
      <c r="J9" s="159">
        <v>2</v>
      </c>
      <c r="K9" s="159">
        <v>15</v>
      </c>
      <c r="L9" s="142">
        <v>3000</v>
      </c>
      <c r="M9" s="159">
        <v>3</v>
      </c>
      <c r="N9" s="159">
        <v>15</v>
      </c>
      <c r="O9" s="143">
        <v>3000</v>
      </c>
      <c r="P9" s="159">
        <v>10</v>
      </c>
      <c r="Q9" s="143">
        <v>21100</v>
      </c>
      <c r="R9" s="159">
        <v>3500</v>
      </c>
      <c r="S9" s="159">
        <v>10</v>
      </c>
      <c r="T9" s="159">
        <v>21100</v>
      </c>
      <c r="U9" s="159">
        <f t="shared" si="0"/>
        <v>16880</v>
      </c>
    </row>
    <row r="10" spans="1:21" x14ac:dyDescent="0.25">
      <c r="A10" s="159" t="s">
        <v>50</v>
      </c>
      <c r="B10" s="158" t="s">
        <v>1117</v>
      </c>
      <c r="C10" s="159" t="s">
        <v>763</v>
      </c>
      <c r="D10" s="159">
        <v>86</v>
      </c>
      <c r="E10" s="142">
        <v>447</v>
      </c>
      <c r="F10" s="159">
        <v>178800</v>
      </c>
      <c r="G10" s="159">
        <v>16</v>
      </c>
      <c r="H10" s="159">
        <v>77</v>
      </c>
      <c r="I10" s="159">
        <v>38885</v>
      </c>
      <c r="J10" s="159">
        <v>8</v>
      </c>
      <c r="K10" s="159">
        <v>56</v>
      </c>
      <c r="L10" s="142">
        <v>11200</v>
      </c>
      <c r="M10" s="159">
        <v>5</v>
      </c>
      <c r="N10" s="159">
        <v>35</v>
      </c>
      <c r="O10" s="143">
        <v>7000</v>
      </c>
      <c r="P10" s="159">
        <v>115</v>
      </c>
      <c r="Q10" s="143">
        <v>273885</v>
      </c>
      <c r="R10" s="159">
        <v>38000</v>
      </c>
      <c r="S10" s="159">
        <v>115</v>
      </c>
      <c r="T10" s="159">
        <v>273885</v>
      </c>
      <c r="U10" s="159">
        <f t="shared" si="0"/>
        <v>219108</v>
      </c>
    </row>
    <row r="11" spans="1:21" x14ac:dyDescent="0.25">
      <c r="A11" s="159" t="s">
        <v>51</v>
      </c>
      <c r="B11" s="158" t="s">
        <v>510</v>
      </c>
      <c r="C11" s="159" t="s">
        <v>764</v>
      </c>
      <c r="D11" s="159">
        <v>380</v>
      </c>
      <c r="E11" s="142">
        <v>1550</v>
      </c>
      <c r="F11" s="159">
        <v>620000</v>
      </c>
      <c r="G11" s="159">
        <v>57</v>
      </c>
      <c r="H11" s="159">
        <v>242</v>
      </c>
      <c r="I11" s="159">
        <v>122210</v>
      </c>
      <c r="J11" s="159">
        <v>22</v>
      </c>
      <c r="K11" s="159">
        <v>117</v>
      </c>
      <c r="L11" s="142">
        <v>23400</v>
      </c>
      <c r="M11" s="159">
        <v>5</v>
      </c>
      <c r="N11" s="159">
        <v>32</v>
      </c>
      <c r="O11" s="143">
        <v>6400</v>
      </c>
      <c r="P11" s="159">
        <v>464</v>
      </c>
      <c r="Q11" s="143">
        <v>879810</v>
      </c>
      <c r="R11" s="159">
        <v>107800</v>
      </c>
      <c r="S11" s="159">
        <v>464</v>
      </c>
      <c r="T11" s="159">
        <v>879810</v>
      </c>
      <c r="U11" s="159">
        <f t="shared" si="0"/>
        <v>703848</v>
      </c>
    </row>
    <row r="12" spans="1:21" x14ac:dyDescent="0.25">
      <c r="A12" s="159" t="s">
        <v>52</v>
      </c>
      <c r="B12" s="158" t="s">
        <v>428</v>
      </c>
      <c r="C12" s="159" t="s">
        <v>765</v>
      </c>
      <c r="D12" s="159">
        <v>153</v>
      </c>
      <c r="E12" s="142">
        <v>765</v>
      </c>
      <c r="F12" s="159">
        <v>306000</v>
      </c>
      <c r="G12" s="159">
        <v>24</v>
      </c>
      <c r="H12" s="159">
        <v>115</v>
      </c>
      <c r="I12" s="159">
        <v>58075</v>
      </c>
      <c r="J12" s="159">
        <v>14</v>
      </c>
      <c r="K12" s="159">
        <v>140</v>
      </c>
      <c r="L12" s="142">
        <v>28000</v>
      </c>
      <c r="M12" s="159">
        <v>10</v>
      </c>
      <c r="N12" s="159">
        <v>70</v>
      </c>
      <c r="O12" s="143">
        <v>14000</v>
      </c>
      <c r="P12" s="159">
        <v>201</v>
      </c>
      <c r="Q12" s="143">
        <v>461275</v>
      </c>
      <c r="R12" s="159">
        <v>55200</v>
      </c>
      <c r="S12" s="159">
        <v>201</v>
      </c>
      <c r="T12" s="159">
        <v>461275</v>
      </c>
      <c r="U12" s="159">
        <f t="shared" si="0"/>
        <v>369020</v>
      </c>
    </row>
    <row r="13" spans="1:21" x14ac:dyDescent="0.25">
      <c r="A13" s="159" t="s">
        <v>53</v>
      </c>
      <c r="B13" s="158" t="s">
        <v>511</v>
      </c>
      <c r="C13" s="159" t="s">
        <v>766</v>
      </c>
      <c r="D13" s="159">
        <v>6</v>
      </c>
      <c r="E13" s="142">
        <v>21</v>
      </c>
      <c r="F13" s="159">
        <v>8400</v>
      </c>
      <c r="G13" s="159">
        <v>0</v>
      </c>
      <c r="H13" s="159">
        <v>0</v>
      </c>
      <c r="I13" s="159">
        <v>0</v>
      </c>
      <c r="J13" s="159">
        <v>1</v>
      </c>
      <c r="K13" s="159">
        <v>4</v>
      </c>
      <c r="L13" s="142">
        <v>800</v>
      </c>
      <c r="M13" s="159">
        <v>1</v>
      </c>
      <c r="N13" s="159">
        <v>4</v>
      </c>
      <c r="O13" s="143">
        <v>800</v>
      </c>
      <c r="P13" s="159">
        <v>8</v>
      </c>
      <c r="Q13" s="143">
        <v>12800</v>
      </c>
      <c r="R13" s="159">
        <v>2800</v>
      </c>
      <c r="S13" s="159">
        <v>8</v>
      </c>
      <c r="T13" s="159">
        <v>12800</v>
      </c>
      <c r="U13" s="159">
        <f t="shared" si="0"/>
        <v>10240</v>
      </c>
    </row>
    <row r="14" spans="1:21" x14ac:dyDescent="0.25">
      <c r="A14" s="159" t="s">
        <v>54</v>
      </c>
      <c r="B14" s="158" t="s">
        <v>512</v>
      </c>
      <c r="C14" s="159" t="s">
        <v>767</v>
      </c>
      <c r="D14" s="159">
        <v>294</v>
      </c>
      <c r="E14" s="142">
        <v>1705</v>
      </c>
      <c r="F14" s="159">
        <v>682000</v>
      </c>
      <c r="G14" s="159">
        <v>53</v>
      </c>
      <c r="H14" s="159">
        <v>199</v>
      </c>
      <c r="I14" s="159">
        <v>100495</v>
      </c>
      <c r="J14" s="159">
        <v>12</v>
      </c>
      <c r="K14" s="159">
        <v>80</v>
      </c>
      <c r="L14" s="142">
        <v>16000</v>
      </c>
      <c r="M14" s="159">
        <v>4</v>
      </c>
      <c r="N14" s="159">
        <v>20</v>
      </c>
      <c r="O14" s="143">
        <v>4000</v>
      </c>
      <c r="P14" s="159">
        <v>363</v>
      </c>
      <c r="Q14" s="143">
        <v>890095</v>
      </c>
      <c r="R14" s="159">
        <v>87600</v>
      </c>
      <c r="S14" s="159">
        <v>363</v>
      </c>
      <c r="T14" s="159">
        <v>890095</v>
      </c>
      <c r="U14" s="159">
        <f t="shared" si="0"/>
        <v>712076</v>
      </c>
    </row>
    <row r="15" spans="1:21" x14ac:dyDescent="0.25">
      <c r="A15" s="159" t="s">
        <v>55</v>
      </c>
      <c r="B15" s="158" t="s">
        <v>513</v>
      </c>
      <c r="C15" s="159" t="s">
        <v>768</v>
      </c>
      <c r="D15" s="159">
        <v>212</v>
      </c>
      <c r="E15" s="142">
        <v>1060</v>
      </c>
      <c r="F15" s="159">
        <v>424000</v>
      </c>
      <c r="G15" s="159">
        <v>37</v>
      </c>
      <c r="H15" s="159">
        <v>148</v>
      </c>
      <c r="I15" s="159">
        <v>74740</v>
      </c>
      <c r="J15" s="159">
        <v>17</v>
      </c>
      <c r="K15" s="159">
        <v>68</v>
      </c>
      <c r="L15" s="142">
        <v>13600</v>
      </c>
      <c r="M15" s="159">
        <v>5</v>
      </c>
      <c r="N15" s="159">
        <v>25</v>
      </c>
      <c r="O15" s="143">
        <v>5000</v>
      </c>
      <c r="P15" s="159">
        <v>271</v>
      </c>
      <c r="Q15" s="143">
        <v>586540</v>
      </c>
      <c r="R15" s="159">
        <v>69200</v>
      </c>
      <c r="S15" s="159">
        <v>271</v>
      </c>
      <c r="T15" s="159">
        <v>586540</v>
      </c>
      <c r="U15" s="159">
        <f t="shared" si="0"/>
        <v>469232</v>
      </c>
    </row>
    <row r="16" spans="1:21" x14ac:dyDescent="0.25">
      <c r="A16" s="159" t="s">
        <v>56</v>
      </c>
      <c r="B16" s="158" t="s">
        <v>514</v>
      </c>
      <c r="C16" s="159" t="s">
        <v>769</v>
      </c>
      <c r="D16" s="159">
        <v>684</v>
      </c>
      <c r="E16" s="142">
        <v>3762</v>
      </c>
      <c r="F16" s="159">
        <v>1504800</v>
      </c>
      <c r="G16" s="159">
        <v>100</v>
      </c>
      <c r="H16" s="159">
        <v>400</v>
      </c>
      <c r="I16" s="159">
        <v>202000</v>
      </c>
      <c r="J16" s="159">
        <v>45</v>
      </c>
      <c r="K16" s="159">
        <v>315</v>
      </c>
      <c r="L16" s="142">
        <v>63000</v>
      </c>
      <c r="M16" s="159">
        <v>40</v>
      </c>
      <c r="N16" s="159">
        <v>280</v>
      </c>
      <c r="O16" s="143">
        <v>56000</v>
      </c>
      <c r="P16" s="159">
        <v>869</v>
      </c>
      <c r="Q16" s="143">
        <v>2014600</v>
      </c>
      <c r="R16" s="159">
        <v>188800</v>
      </c>
      <c r="S16" s="159">
        <v>869</v>
      </c>
      <c r="T16" s="159">
        <v>2014600</v>
      </c>
      <c r="U16" s="159">
        <f t="shared" si="0"/>
        <v>1611680</v>
      </c>
    </row>
    <row r="17" spans="1:21" x14ac:dyDescent="0.25">
      <c r="A17" s="159" t="s">
        <v>57</v>
      </c>
      <c r="B17" s="158" t="s">
        <v>515</v>
      </c>
      <c r="C17" s="159" t="s">
        <v>770</v>
      </c>
      <c r="D17" s="159">
        <v>340</v>
      </c>
      <c r="E17" s="142">
        <v>1972</v>
      </c>
      <c r="F17" s="159">
        <v>788800</v>
      </c>
      <c r="G17" s="159">
        <v>0</v>
      </c>
      <c r="H17" s="159">
        <v>0</v>
      </c>
      <c r="I17" s="159">
        <v>0</v>
      </c>
      <c r="J17" s="159">
        <v>8</v>
      </c>
      <c r="K17" s="159">
        <v>56</v>
      </c>
      <c r="L17" s="142">
        <v>11200</v>
      </c>
      <c r="M17" s="159">
        <v>7</v>
      </c>
      <c r="N17" s="159">
        <v>49</v>
      </c>
      <c r="O17" s="143">
        <v>9800</v>
      </c>
      <c r="P17" s="159">
        <v>355</v>
      </c>
      <c r="Q17" s="143">
        <v>895800</v>
      </c>
      <c r="R17" s="159">
        <v>86000</v>
      </c>
      <c r="S17" s="159">
        <v>355</v>
      </c>
      <c r="T17" s="159">
        <v>895800</v>
      </c>
      <c r="U17" s="159">
        <f t="shared" si="0"/>
        <v>716640</v>
      </c>
    </row>
    <row r="18" spans="1:21" x14ac:dyDescent="0.25">
      <c r="A18" s="159" t="s">
        <v>58</v>
      </c>
      <c r="B18" s="158" t="s">
        <v>515</v>
      </c>
      <c r="C18" s="159" t="s">
        <v>771</v>
      </c>
      <c r="D18" s="159">
        <v>0</v>
      </c>
      <c r="E18" s="142">
        <v>0</v>
      </c>
      <c r="F18" s="159">
        <v>0</v>
      </c>
      <c r="G18" s="159">
        <v>74</v>
      </c>
      <c r="H18" s="159">
        <v>345</v>
      </c>
      <c r="I18" s="159">
        <v>174225</v>
      </c>
      <c r="J18" s="159">
        <v>0</v>
      </c>
      <c r="K18" s="159">
        <v>0</v>
      </c>
      <c r="L18" s="142">
        <v>0</v>
      </c>
      <c r="M18" s="159">
        <v>0</v>
      </c>
      <c r="N18" s="159">
        <v>0</v>
      </c>
      <c r="O18" s="143">
        <v>0</v>
      </c>
      <c r="P18" s="159">
        <v>74</v>
      </c>
      <c r="Q18" s="143">
        <v>200125</v>
      </c>
      <c r="R18" s="159">
        <v>25900</v>
      </c>
      <c r="S18" s="159">
        <v>74</v>
      </c>
      <c r="T18" s="159">
        <v>200125</v>
      </c>
      <c r="U18" s="159">
        <f t="shared" si="0"/>
        <v>160100</v>
      </c>
    </row>
    <row r="19" spans="1:21" x14ac:dyDescent="0.25">
      <c r="A19" s="159" t="s">
        <v>59</v>
      </c>
      <c r="B19" s="158" t="s">
        <v>516</v>
      </c>
      <c r="C19" s="159" t="s">
        <v>772</v>
      </c>
      <c r="D19" s="159">
        <v>80</v>
      </c>
      <c r="E19" s="142">
        <v>400</v>
      </c>
      <c r="F19" s="159">
        <v>160000</v>
      </c>
      <c r="G19" s="159">
        <v>0</v>
      </c>
      <c r="H19" s="159">
        <v>0</v>
      </c>
      <c r="I19" s="159">
        <v>0</v>
      </c>
      <c r="J19" s="159">
        <v>15</v>
      </c>
      <c r="K19" s="159">
        <v>45</v>
      </c>
      <c r="L19" s="142">
        <v>9000</v>
      </c>
      <c r="M19" s="159">
        <v>8</v>
      </c>
      <c r="N19" s="159">
        <v>24</v>
      </c>
      <c r="O19" s="143">
        <v>4800</v>
      </c>
      <c r="P19" s="159">
        <v>103</v>
      </c>
      <c r="Q19" s="143">
        <v>209400</v>
      </c>
      <c r="R19" s="159">
        <v>35600</v>
      </c>
      <c r="S19" s="159">
        <v>103</v>
      </c>
      <c r="T19" s="159">
        <v>209400</v>
      </c>
      <c r="U19" s="159">
        <f t="shared" si="0"/>
        <v>167520</v>
      </c>
    </row>
    <row r="20" spans="1:21" x14ac:dyDescent="0.25">
      <c r="A20" s="159" t="s">
        <v>60</v>
      </c>
      <c r="B20" s="158" t="s">
        <v>517</v>
      </c>
      <c r="C20" s="159" t="s">
        <v>773</v>
      </c>
      <c r="D20" s="159">
        <v>41</v>
      </c>
      <c r="E20" s="142">
        <v>205</v>
      </c>
      <c r="F20" s="159">
        <v>82000</v>
      </c>
      <c r="G20" s="159">
        <v>20</v>
      </c>
      <c r="H20" s="159">
        <v>96</v>
      </c>
      <c r="I20" s="159">
        <v>48480</v>
      </c>
      <c r="J20" s="159">
        <v>30</v>
      </c>
      <c r="K20" s="159">
        <v>210</v>
      </c>
      <c r="L20" s="142">
        <v>42000</v>
      </c>
      <c r="M20" s="159">
        <v>6</v>
      </c>
      <c r="N20" s="159">
        <v>42</v>
      </c>
      <c r="O20" s="143">
        <v>8400</v>
      </c>
      <c r="P20" s="159">
        <v>97</v>
      </c>
      <c r="Q20" s="143">
        <v>214830</v>
      </c>
      <c r="R20" s="159">
        <v>33950</v>
      </c>
      <c r="S20" s="159">
        <v>97</v>
      </c>
      <c r="T20" s="159">
        <v>214830</v>
      </c>
      <c r="U20" s="159">
        <f t="shared" si="0"/>
        <v>171864</v>
      </c>
    </row>
    <row r="21" spans="1:21" x14ac:dyDescent="0.25">
      <c r="A21" s="159" t="s">
        <v>61</v>
      </c>
      <c r="B21" s="158" t="s">
        <v>429</v>
      </c>
      <c r="C21" s="159" t="s">
        <v>774</v>
      </c>
      <c r="D21" s="159">
        <v>32</v>
      </c>
      <c r="E21" s="142">
        <v>150</v>
      </c>
      <c r="F21" s="159">
        <v>60000</v>
      </c>
      <c r="G21" s="159">
        <v>21</v>
      </c>
      <c r="H21" s="159">
        <v>91</v>
      </c>
      <c r="I21" s="159">
        <v>45955</v>
      </c>
      <c r="J21" s="159">
        <v>20</v>
      </c>
      <c r="K21" s="159">
        <v>100</v>
      </c>
      <c r="L21" s="142">
        <v>20000</v>
      </c>
      <c r="M21" s="159">
        <v>40</v>
      </c>
      <c r="N21" s="159">
        <v>200</v>
      </c>
      <c r="O21" s="143">
        <v>40000</v>
      </c>
      <c r="P21" s="159">
        <v>113</v>
      </c>
      <c r="Q21" s="143">
        <v>203555</v>
      </c>
      <c r="R21" s="159">
        <v>37600</v>
      </c>
      <c r="S21" s="159">
        <v>113</v>
      </c>
      <c r="T21" s="159">
        <v>203555</v>
      </c>
      <c r="U21" s="159">
        <f t="shared" si="0"/>
        <v>162844</v>
      </c>
    </row>
    <row r="22" spans="1:21" x14ac:dyDescent="0.25">
      <c r="A22" s="159" t="s">
        <v>62</v>
      </c>
      <c r="B22" s="158" t="s">
        <v>518</v>
      </c>
      <c r="C22" s="159" t="s">
        <v>775</v>
      </c>
      <c r="D22" s="159">
        <v>305</v>
      </c>
      <c r="E22" s="142">
        <v>1769</v>
      </c>
      <c r="F22" s="159">
        <v>707600</v>
      </c>
      <c r="G22" s="159">
        <v>50</v>
      </c>
      <c r="H22" s="159">
        <v>240</v>
      </c>
      <c r="I22" s="159">
        <v>121200</v>
      </c>
      <c r="J22" s="159">
        <v>28</v>
      </c>
      <c r="K22" s="159">
        <v>140</v>
      </c>
      <c r="L22" s="142">
        <v>28000</v>
      </c>
      <c r="M22" s="159">
        <v>35</v>
      </c>
      <c r="N22" s="159">
        <v>175</v>
      </c>
      <c r="O22" s="143">
        <v>35000</v>
      </c>
      <c r="P22" s="159">
        <v>418</v>
      </c>
      <c r="Q22" s="143">
        <v>990400</v>
      </c>
      <c r="R22" s="159">
        <v>98600</v>
      </c>
      <c r="S22" s="159">
        <v>418</v>
      </c>
      <c r="T22" s="159">
        <v>990400</v>
      </c>
      <c r="U22" s="159">
        <f t="shared" si="0"/>
        <v>792320</v>
      </c>
    </row>
    <row r="23" spans="1:21" x14ac:dyDescent="0.25">
      <c r="A23" s="159" t="s">
        <v>63</v>
      </c>
      <c r="B23" s="158" t="s">
        <v>430</v>
      </c>
      <c r="C23" s="159" t="s">
        <v>776</v>
      </c>
      <c r="D23" s="159">
        <v>8</v>
      </c>
      <c r="E23" s="142">
        <v>40</v>
      </c>
      <c r="F23" s="159">
        <v>16000</v>
      </c>
      <c r="G23" s="159">
        <v>9</v>
      </c>
      <c r="H23" s="159">
        <v>43</v>
      </c>
      <c r="I23" s="159">
        <v>21715</v>
      </c>
      <c r="J23" s="159">
        <v>7</v>
      </c>
      <c r="K23" s="159">
        <v>28</v>
      </c>
      <c r="L23" s="142">
        <v>5600</v>
      </c>
      <c r="M23" s="159">
        <v>6</v>
      </c>
      <c r="N23" s="159">
        <v>30</v>
      </c>
      <c r="O23" s="143">
        <v>6000</v>
      </c>
      <c r="P23" s="159">
        <v>30</v>
      </c>
      <c r="Q23" s="143">
        <v>59815</v>
      </c>
      <c r="R23" s="159">
        <v>10500</v>
      </c>
      <c r="S23" s="159">
        <v>30</v>
      </c>
      <c r="T23" s="159">
        <v>59815</v>
      </c>
      <c r="U23" s="159">
        <f t="shared" si="0"/>
        <v>47852</v>
      </c>
    </row>
    <row r="24" spans="1:21" x14ac:dyDescent="0.25">
      <c r="A24" s="159" t="s">
        <v>64</v>
      </c>
      <c r="B24" s="158" t="s">
        <v>519</v>
      </c>
      <c r="C24" s="159" t="s">
        <v>777</v>
      </c>
      <c r="D24" s="159">
        <v>720</v>
      </c>
      <c r="E24" s="142">
        <v>4176</v>
      </c>
      <c r="F24" s="159">
        <v>1670400</v>
      </c>
      <c r="G24" s="159">
        <v>150</v>
      </c>
      <c r="H24" s="159">
        <v>600</v>
      </c>
      <c r="I24" s="159">
        <v>303000</v>
      </c>
      <c r="J24" s="159">
        <v>140</v>
      </c>
      <c r="K24" s="159">
        <v>840</v>
      </c>
      <c r="L24" s="142">
        <v>168000</v>
      </c>
      <c r="M24" s="159">
        <v>140</v>
      </c>
      <c r="N24" s="159">
        <v>980</v>
      </c>
      <c r="O24" s="143">
        <v>196000</v>
      </c>
      <c r="P24" s="159">
        <v>1150</v>
      </c>
      <c r="Q24" s="143">
        <v>2582400</v>
      </c>
      <c r="R24" s="159">
        <v>245000</v>
      </c>
      <c r="S24" s="159">
        <v>1150</v>
      </c>
      <c r="T24" s="159">
        <v>2582400</v>
      </c>
      <c r="U24" s="159">
        <f t="shared" si="0"/>
        <v>2065920</v>
      </c>
    </row>
    <row r="25" spans="1:21" x14ac:dyDescent="0.25">
      <c r="A25" s="159" t="s">
        <v>377</v>
      </c>
      <c r="B25" s="158" t="s">
        <v>431</v>
      </c>
      <c r="C25" s="159" t="s">
        <v>778</v>
      </c>
      <c r="D25" s="159">
        <v>159</v>
      </c>
      <c r="E25" s="142">
        <v>795</v>
      </c>
      <c r="F25" s="159">
        <v>318000</v>
      </c>
      <c r="G25" s="159">
        <v>67</v>
      </c>
      <c r="H25" s="159">
        <v>322</v>
      </c>
      <c r="I25" s="159">
        <v>162610</v>
      </c>
      <c r="J25" s="159">
        <v>12</v>
      </c>
      <c r="K25" s="159">
        <v>60</v>
      </c>
      <c r="L25" s="142">
        <v>12000</v>
      </c>
      <c r="M25" s="159">
        <v>11</v>
      </c>
      <c r="N25" s="159">
        <v>55</v>
      </c>
      <c r="O25" s="143">
        <v>11000</v>
      </c>
      <c r="P25" s="159">
        <v>249</v>
      </c>
      <c r="Q25" s="143">
        <v>568410</v>
      </c>
      <c r="R25" s="159">
        <v>64800</v>
      </c>
      <c r="S25" s="159">
        <v>249</v>
      </c>
      <c r="T25" s="159">
        <v>568410</v>
      </c>
      <c r="U25" s="159">
        <f t="shared" si="0"/>
        <v>454728</v>
      </c>
    </row>
    <row r="26" spans="1:21" x14ac:dyDescent="0.25">
      <c r="A26" s="159" t="s">
        <v>65</v>
      </c>
      <c r="B26" s="158" t="s">
        <v>432</v>
      </c>
      <c r="C26" s="159" t="s">
        <v>779</v>
      </c>
      <c r="D26" s="159">
        <v>5</v>
      </c>
      <c r="E26" s="142">
        <v>29</v>
      </c>
      <c r="F26" s="159">
        <v>11600</v>
      </c>
      <c r="G26" s="159">
        <v>0</v>
      </c>
      <c r="H26" s="159">
        <v>0</v>
      </c>
      <c r="I26" s="159">
        <v>0</v>
      </c>
      <c r="J26" s="159">
        <v>3</v>
      </c>
      <c r="K26" s="159">
        <v>15</v>
      </c>
      <c r="L26" s="142">
        <v>3000</v>
      </c>
      <c r="M26" s="159">
        <v>1</v>
      </c>
      <c r="N26" s="159">
        <v>5</v>
      </c>
      <c r="O26" s="143">
        <v>1000</v>
      </c>
      <c r="P26" s="159">
        <v>9</v>
      </c>
      <c r="Q26" s="143">
        <v>18750</v>
      </c>
      <c r="R26" s="159">
        <v>3150</v>
      </c>
      <c r="S26" s="159">
        <v>9</v>
      </c>
      <c r="T26" s="159">
        <v>18750</v>
      </c>
      <c r="U26" s="159">
        <f t="shared" si="0"/>
        <v>15000</v>
      </c>
    </row>
    <row r="27" spans="1:21" x14ac:dyDescent="0.25">
      <c r="A27" s="159" t="s">
        <v>433</v>
      </c>
      <c r="B27" s="158" t="s">
        <v>434</v>
      </c>
      <c r="C27" s="159" t="s">
        <v>780</v>
      </c>
      <c r="D27" s="159">
        <v>6</v>
      </c>
      <c r="E27" s="142">
        <v>35</v>
      </c>
      <c r="F27" s="159">
        <v>14000</v>
      </c>
      <c r="G27" s="159">
        <v>3</v>
      </c>
      <c r="H27" s="159">
        <v>6</v>
      </c>
      <c r="I27" s="159">
        <v>3030</v>
      </c>
      <c r="J27" s="159">
        <v>7</v>
      </c>
      <c r="K27" s="159">
        <v>35</v>
      </c>
      <c r="L27" s="142">
        <v>7000</v>
      </c>
      <c r="M27" s="159">
        <v>4</v>
      </c>
      <c r="N27" s="159">
        <v>12</v>
      </c>
      <c r="O27" s="143">
        <v>2400</v>
      </c>
      <c r="P27" s="159">
        <v>20</v>
      </c>
      <c r="Q27" s="143">
        <v>33430</v>
      </c>
      <c r="R27" s="159">
        <v>7000</v>
      </c>
      <c r="S27" s="159">
        <v>20</v>
      </c>
      <c r="T27" s="159">
        <v>33430</v>
      </c>
      <c r="U27" s="159">
        <f t="shared" si="0"/>
        <v>26744</v>
      </c>
    </row>
    <row r="28" spans="1:21" x14ac:dyDescent="0.25">
      <c r="A28" s="159" t="s">
        <v>66</v>
      </c>
      <c r="B28" s="158" t="s">
        <v>520</v>
      </c>
      <c r="C28" s="159" t="s">
        <v>781</v>
      </c>
      <c r="D28" s="159">
        <v>26</v>
      </c>
      <c r="E28" s="142">
        <v>130</v>
      </c>
      <c r="F28" s="159">
        <v>52000</v>
      </c>
      <c r="G28" s="159">
        <v>3</v>
      </c>
      <c r="H28" s="159">
        <v>14</v>
      </c>
      <c r="I28" s="159">
        <v>7070</v>
      </c>
      <c r="J28" s="159">
        <v>3</v>
      </c>
      <c r="K28" s="159">
        <v>15</v>
      </c>
      <c r="L28" s="142">
        <v>3000</v>
      </c>
      <c r="M28" s="159">
        <v>3</v>
      </c>
      <c r="N28" s="159">
        <v>15</v>
      </c>
      <c r="O28" s="143">
        <v>3000</v>
      </c>
      <c r="P28" s="159">
        <v>35</v>
      </c>
      <c r="Q28" s="143">
        <v>77320</v>
      </c>
      <c r="R28" s="159">
        <v>12250</v>
      </c>
      <c r="S28" s="159">
        <v>35</v>
      </c>
      <c r="T28" s="159">
        <v>77320</v>
      </c>
      <c r="U28" s="159">
        <f t="shared" si="0"/>
        <v>61856</v>
      </c>
    </row>
    <row r="29" spans="1:21" x14ac:dyDescent="0.25">
      <c r="A29" s="159" t="s">
        <v>67</v>
      </c>
      <c r="B29" s="158" t="s">
        <v>435</v>
      </c>
      <c r="C29" s="159" t="s">
        <v>782</v>
      </c>
      <c r="D29" s="159">
        <v>9</v>
      </c>
      <c r="E29" s="142">
        <v>43</v>
      </c>
      <c r="F29" s="159">
        <v>17200</v>
      </c>
      <c r="G29" s="159">
        <v>9</v>
      </c>
      <c r="H29" s="159">
        <v>40</v>
      </c>
      <c r="I29" s="159">
        <v>20200</v>
      </c>
      <c r="J29" s="159">
        <v>2</v>
      </c>
      <c r="K29" s="159">
        <v>9</v>
      </c>
      <c r="L29" s="142">
        <v>1800</v>
      </c>
      <c r="M29" s="159">
        <v>5</v>
      </c>
      <c r="N29" s="159">
        <v>25</v>
      </c>
      <c r="O29" s="143">
        <v>5000</v>
      </c>
      <c r="P29" s="159">
        <v>25</v>
      </c>
      <c r="Q29" s="143">
        <v>52950</v>
      </c>
      <c r="R29" s="159">
        <v>8750</v>
      </c>
      <c r="S29" s="159">
        <v>25</v>
      </c>
      <c r="T29" s="159">
        <v>52950</v>
      </c>
      <c r="U29" s="159">
        <f t="shared" si="0"/>
        <v>42360</v>
      </c>
    </row>
    <row r="30" spans="1:21" x14ac:dyDescent="0.25">
      <c r="A30" s="159" t="s">
        <v>784</v>
      </c>
      <c r="B30" s="160" t="s">
        <v>1118</v>
      </c>
      <c r="C30" s="159" t="s">
        <v>783</v>
      </c>
      <c r="D30" s="159">
        <v>30</v>
      </c>
      <c r="E30" s="142">
        <v>120</v>
      </c>
      <c r="F30" s="159">
        <v>48000</v>
      </c>
      <c r="G30" s="159">
        <v>30</v>
      </c>
      <c r="H30" s="159">
        <v>144</v>
      </c>
      <c r="I30" s="159">
        <v>72720</v>
      </c>
      <c r="J30" s="159">
        <v>19</v>
      </c>
      <c r="K30" s="159">
        <v>152</v>
      </c>
      <c r="L30" s="142">
        <v>30400</v>
      </c>
      <c r="M30" s="159">
        <v>13</v>
      </c>
      <c r="N30" s="159">
        <v>52</v>
      </c>
      <c r="O30" s="143">
        <v>10400</v>
      </c>
      <c r="P30" s="159">
        <v>92</v>
      </c>
      <c r="Q30" s="143">
        <v>193720</v>
      </c>
      <c r="R30" s="159">
        <v>32200</v>
      </c>
      <c r="S30" s="159">
        <v>92</v>
      </c>
      <c r="T30" s="159">
        <v>193720</v>
      </c>
      <c r="U30" s="159">
        <f t="shared" si="0"/>
        <v>154976</v>
      </c>
    </row>
    <row r="31" spans="1:21" x14ac:dyDescent="0.25">
      <c r="A31" s="159" t="s">
        <v>68</v>
      </c>
      <c r="B31" s="158" t="s">
        <v>1119</v>
      </c>
      <c r="C31" s="159" t="s">
        <v>785</v>
      </c>
      <c r="D31" s="159">
        <v>4</v>
      </c>
      <c r="E31" s="142">
        <v>20</v>
      </c>
      <c r="F31" s="159">
        <v>8000</v>
      </c>
      <c r="G31" s="159">
        <v>2</v>
      </c>
      <c r="H31" s="159">
        <v>10</v>
      </c>
      <c r="I31" s="159">
        <v>5050</v>
      </c>
      <c r="J31" s="159">
        <v>1</v>
      </c>
      <c r="K31" s="159">
        <v>5</v>
      </c>
      <c r="L31" s="142">
        <v>1000</v>
      </c>
      <c r="M31" s="159">
        <v>1</v>
      </c>
      <c r="N31" s="159">
        <v>5</v>
      </c>
      <c r="O31" s="143">
        <v>1000</v>
      </c>
      <c r="P31" s="159">
        <v>8</v>
      </c>
      <c r="Q31" s="143">
        <v>17850</v>
      </c>
      <c r="R31" s="159">
        <v>2800</v>
      </c>
      <c r="S31" s="159">
        <v>8</v>
      </c>
      <c r="T31" s="159">
        <v>17850</v>
      </c>
      <c r="U31" s="159">
        <f t="shared" si="0"/>
        <v>14280</v>
      </c>
    </row>
    <row r="32" spans="1:21" x14ac:dyDescent="0.25">
      <c r="A32" s="159" t="s">
        <v>436</v>
      </c>
      <c r="B32" s="158" t="s">
        <v>521</v>
      </c>
      <c r="C32" s="159" t="s">
        <v>786</v>
      </c>
      <c r="D32" s="159">
        <v>12</v>
      </c>
      <c r="E32" s="142">
        <v>70</v>
      </c>
      <c r="F32" s="159">
        <v>28000</v>
      </c>
      <c r="G32" s="159">
        <v>12</v>
      </c>
      <c r="H32" s="159">
        <v>53</v>
      </c>
      <c r="I32" s="159">
        <v>26765</v>
      </c>
      <c r="J32" s="159">
        <v>0</v>
      </c>
      <c r="K32" s="159">
        <v>0</v>
      </c>
      <c r="L32" s="142">
        <v>0</v>
      </c>
      <c r="M32" s="159">
        <v>2</v>
      </c>
      <c r="N32" s="159">
        <v>10</v>
      </c>
      <c r="O32" s="143">
        <v>2000</v>
      </c>
      <c r="P32" s="159">
        <v>26</v>
      </c>
      <c r="Q32" s="143">
        <v>65865</v>
      </c>
      <c r="R32" s="159">
        <v>9100</v>
      </c>
      <c r="S32" s="159">
        <v>26</v>
      </c>
      <c r="T32" s="159">
        <v>65865</v>
      </c>
      <c r="U32" s="159">
        <f t="shared" si="0"/>
        <v>52692</v>
      </c>
    </row>
    <row r="33" spans="1:21" x14ac:dyDescent="0.25">
      <c r="A33" s="159" t="s">
        <v>69</v>
      </c>
      <c r="B33" s="158" t="s">
        <v>437</v>
      </c>
      <c r="C33" s="159" t="s">
        <v>787</v>
      </c>
      <c r="D33" s="159">
        <v>2</v>
      </c>
      <c r="E33" s="142">
        <v>9</v>
      </c>
      <c r="F33" s="159">
        <v>3600</v>
      </c>
      <c r="G33" s="159">
        <v>9</v>
      </c>
      <c r="H33" s="159">
        <v>31</v>
      </c>
      <c r="I33" s="159">
        <v>15655</v>
      </c>
      <c r="J33" s="159">
        <v>2</v>
      </c>
      <c r="K33" s="159">
        <v>20</v>
      </c>
      <c r="L33" s="142">
        <v>4000</v>
      </c>
      <c r="M33" s="159">
        <v>3</v>
      </c>
      <c r="N33" s="159">
        <v>15</v>
      </c>
      <c r="O33" s="143">
        <v>3000</v>
      </c>
      <c r="P33" s="159">
        <v>16</v>
      </c>
      <c r="Q33" s="143">
        <v>31855</v>
      </c>
      <c r="R33" s="159">
        <v>5600</v>
      </c>
      <c r="S33" s="159">
        <v>16</v>
      </c>
      <c r="T33" s="159">
        <v>31855</v>
      </c>
      <c r="U33" s="159">
        <f t="shared" si="0"/>
        <v>25484</v>
      </c>
    </row>
    <row r="34" spans="1:21" x14ac:dyDescent="0.25">
      <c r="A34" s="159" t="s">
        <v>70</v>
      </c>
      <c r="B34" s="158" t="s">
        <v>522</v>
      </c>
      <c r="C34" s="159" t="s">
        <v>788</v>
      </c>
      <c r="D34" s="159">
        <v>6</v>
      </c>
      <c r="E34" s="142">
        <v>27</v>
      </c>
      <c r="F34" s="159">
        <v>10800</v>
      </c>
      <c r="G34" s="159">
        <v>7</v>
      </c>
      <c r="H34" s="159">
        <v>34</v>
      </c>
      <c r="I34" s="159">
        <v>17170</v>
      </c>
      <c r="J34" s="159">
        <v>2</v>
      </c>
      <c r="K34" s="159">
        <v>14</v>
      </c>
      <c r="L34" s="142">
        <v>2800</v>
      </c>
      <c r="M34" s="159">
        <v>3</v>
      </c>
      <c r="N34" s="159">
        <v>21</v>
      </c>
      <c r="O34" s="143">
        <v>4200</v>
      </c>
      <c r="P34" s="159">
        <v>18</v>
      </c>
      <c r="Q34" s="143">
        <v>41270</v>
      </c>
      <c r="R34" s="159">
        <v>6300</v>
      </c>
      <c r="S34" s="159">
        <v>18</v>
      </c>
      <c r="T34" s="159">
        <v>41270</v>
      </c>
      <c r="U34" s="159">
        <f t="shared" si="0"/>
        <v>33016</v>
      </c>
    </row>
    <row r="35" spans="1:21" x14ac:dyDescent="0.25">
      <c r="A35" s="159" t="s">
        <v>71</v>
      </c>
      <c r="B35" s="158" t="s">
        <v>523</v>
      </c>
      <c r="C35" s="159" t="s">
        <v>789</v>
      </c>
      <c r="D35" s="159">
        <v>4</v>
      </c>
      <c r="E35" s="142">
        <v>23</v>
      </c>
      <c r="F35" s="159">
        <v>9200</v>
      </c>
      <c r="G35" s="159">
        <v>3</v>
      </c>
      <c r="H35" s="159">
        <v>6</v>
      </c>
      <c r="I35" s="159">
        <v>3030</v>
      </c>
      <c r="J35" s="159">
        <v>2</v>
      </c>
      <c r="K35" s="159">
        <v>12</v>
      </c>
      <c r="L35" s="142">
        <v>2400</v>
      </c>
      <c r="M35" s="159">
        <v>6</v>
      </c>
      <c r="N35" s="159">
        <v>36</v>
      </c>
      <c r="O35" s="143">
        <v>7200</v>
      </c>
      <c r="P35" s="159">
        <v>15</v>
      </c>
      <c r="Q35" s="143">
        <v>27080</v>
      </c>
      <c r="R35" s="159">
        <v>5250</v>
      </c>
      <c r="S35" s="159">
        <v>15</v>
      </c>
      <c r="T35" s="159">
        <v>27080</v>
      </c>
      <c r="U35" s="159">
        <f t="shared" si="0"/>
        <v>21664</v>
      </c>
    </row>
    <row r="36" spans="1:21" x14ac:dyDescent="0.25">
      <c r="A36" s="159" t="s">
        <v>72</v>
      </c>
      <c r="B36" s="158" t="s">
        <v>438</v>
      </c>
      <c r="C36" s="159" t="s">
        <v>790</v>
      </c>
      <c r="D36" s="159">
        <v>11</v>
      </c>
      <c r="E36" s="142">
        <v>47</v>
      </c>
      <c r="F36" s="159">
        <v>18800</v>
      </c>
      <c r="G36" s="159">
        <v>0</v>
      </c>
      <c r="H36" s="159">
        <v>0</v>
      </c>
      <c r="I36" s="159">
        <v>0</v>
      </c>
      <c r="J36" s="159">
        <v>0</v>
      </c>
      <c r="K36" s="159">
        <v>0</v>
      </c>
      <c r="L36" s="142">
        <v>0</v>
      </c>
      <c r="M36" s="159">
        <v>0</v>
      </c>
      <c r="N36" s="159">
        <v>0</v>
      </c>
      <c r="O36" s="143">
        <v>0</v>
      </c>
      <c r="P36" s="159">
        <v>11</v>
      </c>
      <c r="Q36" s="143">
        <v>22650</v>
      </c>
      <c r="R36" s="159">
        <v>3850</v>
      </c>
      <c r="S36" s="159">
        <v>11</v>
      </c>
      <c r="T36" s="159">
        <v>22650</v>
      </c>
      <c r="U36" s="159">
        <f t="shared" si="0"/>
        <v>18120</v>
      </c>
    </row>
    <row r="37" spans="1:21" x14ac:dyDescent="0.25">
      <c r="A37" s="159" t="s">
        <v>792</v>
      </c>
      <c r="B37" s="158" t="s">
        <v>1120</v>
      </c>
      <c r="C37" s="159" t="s">
        <v>791</v>
      </c>
      <c r="D37" s="159">
        <v>3</v>
      </c>
      <c r="E37" s="142">
        <v>17</v>
      </c>
      <c r="F37" s="159">
        <v>6800</v>
      </c>
      <c r="G37" s="159">
        <v>2</v>
      </c>
      <c r="H37" s="159">
        <v>7</v>
      </c>
      <c r="I37" s="159">
        <v>3535</v>
      </c>
      <c r="J37" s="159">
        <v>3</v>
      </c>
      <c r="K37" s="159">
        <v>21</v>
      </c>
      <c r="L37" s="142">
        <v>4200</v>
      </c>
      <c r="M37" s="159">
        <v>3</v>
      </c>
      <c r="N37" s="159">
        <v>21</v>
      </c>
      <c r="O37" s="143">
        <v>4200</v>
      </c>
      <c r="P37" s="159">
        <v>11</v>
      </c>
      <c r="Q37" s="143">
        <v>22585</v>
      </c>
      <c r="R37" s="159">
        <v>3850</v>
      </c>
      <c r="S37" s="159">
        <v>11</v>
      </c>
      <c r="T37" s="159">
        <v>22585</v>
      </c>
      <c r="U37" s="159">
        <f t="shared" si="0"/>
        <v>18068</v>
      </c>
    </row>
    <row r="38" spans="1:21" x14ac:dyDescent="0.25">
      <c r="A38" s="159" t="s">
        <v>73</v>
      </c>
      <c r="B38" s="158" t="s">
        <v>439</v>
      </c>
      <c r="C38" s="159" t="s">
        <v>793</v>
      </c>
      <c r="D38" s="159">
        <v>3</v>
      </c>
      <c r="E38" s="142">
        <v>15</v>
      </c>
      <c r="F38" s="159">
        <v>6000</v>
      </c>
      <c r="G38" s="159">
        <v>7</v>
      </c>
      <c r="H38" s="159">
        <v>34</v>
      </c>
      <c r="I38" s="159">
        <v>17170</v>
      </c>
      <c r="J38" s="159">
        <v>2</v>
      </c>
      <c r="K38" s="159">
        <v>10</v>
      </c>
      <c r="L38" s="142">
        <v>2000</v>
      </c>
      <c r="M38" s="159">
        <v>2</v>
      </c>
      <c r="N38" s="159">
        <v>10</v>
      </c>
      <c r="O38" s="143">
        <v>2000</v>
      </c>
      <c r="P38" s="159">
        <v>14</v>
      </c>
      <c r="Q38" s="143">
        <v>32070</v>
      </c>
      <c r="R38" s="159">
        <v>4900</v>
      </c>
      <c r="S38" s="159">
        <v>14</v>
      </c>
      <c r="T38" s="159">
        <v>32070</v>
      </c>
      <c r="U38" s="159">
        <f t="shared" si="0"/>
        <v>25656</v>
      </c>
    </row>
    <row r="39" spans="1:21" x14ac:dyDescent="0.25">
      <c r="A39" s="159" t="s">
        <v>795</v>
      </c>
      <c r="B39" s="158" t="s">
        <v>1121</v>
      </c>
      <c r="C39" s="159" t="s">
        <v>794</v>
      </c>
      <c r="D39" s="159">
        <v>1</v>
      </c>
      <c r="E39" s="142">
        <v>4</v>
      </c>
      <c r="F39" s="159">
        <v>1600</v>
      </c>
      <c r="G39" s="159">
        <v>5</v>
      </c>
      <c r="H39" s="159">
        <v>10</v>
      </c>
      <c r="I39" s="159">
        <v>5050</v>
      </c>
      <c r="J39" s="159">
        <v>2</v>
      </c>
      <c r="K39" s="159">
        <v>6</v>
      </c>
      <c r="L39" s="142">
        <v>1200</v>
      </c>
      <c r="M39" s="159">
        <v>2</v>
      </c>
      <c r="N39" s="159">
        <v>6</v>
      </c>
      <c r="O39" s="143">
        <v>1200</v>
      </c>
      <c r="P39" s="159">
        <v>10</v>
      </c>
      <c r="Q39" s="143">
        <v>12550</v>
      </c>
      <c r="R39" s="159">
        <v>3500</v>
      </c>
      <c r="S39" s="159">
        <v>10</v>
      </c>
      <c r="T39" s="159">
        <v>12550</v>
      </c>
      <c r="U39" s="159">
        <f t="shared" si="0"/>
        <v>10040</v>
      </c>
    </row>
    <row r="40" spans="1:21" x14ac:dyDescent="0.25">
      <c r="A40" s="159" t="s">
        <v>74</v>
      </c>
      <c r="B40" s="158" t="s">
        <v>524</v>
      </c>
      <c r="C40" s="159" t="s">
        <v>796</v>
      </c>
      <c r="D40" s="159">
        <v>6</v>
      </c>
      <c r="E40" s="142">
        <v>30</v>
      </c>
      <c r="F40" s="159">
        <v>12000</v>
      </c>
      <c r="G40" s="159">
        <v>3</v>
      </c>
      <c r="H40" s="159">
        <v>9</v>
      </c>
      <c r="I40" s="159">
        <v>4545</v>
      </c>
      <c r="J40" s="159">
        <v>4</v>
      </c>
      <c r="K40" s="159">
        <v>28</v>
      </c>
      <c r="L40" s="142">
        <v>5600</v>
      </c>
      <c r="M40" s="159">
        <v>5</v>
      </c>
      <c r="N40" s="159">
        <v>25</v>
      </c>
      <c r="O40" s="143">
        <v>5000</v>
      </c>
      <c r="P40" s="159">
        <v>18</v>
      </c>
      <c r="Q40" s="143">
        <v>33445</v>
      </c>
      <c r="R40" s="159">
        <v>6300</v>
      </c>
      <c r="S40" s="159">
        <v>18</v>
      </c>
      <c r="T40" s="159">
        <v>33445</v>
      </c>
      <c r="U40" s="159">
        <f t="shared" si="0"/>
        <v>26756</v>
      </c>
    </row>
    <row r="41" spans="1:21" x14ac:dyDescent="0.25">
      <c r="A41" s="159" t="s">
        <v>798</v>
      </c>
      <c r="B41" s="158" t="s">
        <v>1122</v>
      </c>
      <c r="C41" s="159" t="s">
        <v>797</v>
      </c>
      <c r="D41" s="159">
        <v>0</v>
      </c>
      <c r="E41" s="142">
        <v>0</v>
      </c>
      <c r="F41" s="159">
        <v>0</v>
      </c>
      <c r="G41" s="159">
        <v>81</v>
      </c>
      <c r="H41" s="159">
        <v>289</v>
      </c>
      <c r="I41" s="159">
        <v>145945</v>
      </c>
      <c r="J41" s="159">
        <v>0</v>
      </c>
      <c r="K41" s="159">
        <v>0</v>
      </c>
      <c r="L41" s="142">
        <v>0</v>
      </c>
      <c r="M41" s="159">
        <v>0</v>
      </c>
      <c r="N41" s="159">
        <v>0</v>
      </c>
      <c r="O41" s="143">
        <v>0</v>
      </c>
      <c r="P41" s="159">
        <v>81</v>
      </c>
      <c r="Q41" s="143">
        <v>174295</v>
      </c>
      <c r="R41" s="159">
        <v>28350</v>
      </c>
      <c r="S41" s="159">
        <v>81</v>
      </c>
      <c r="T41" s="159">
        <v>174295</v>
      </c>
      <c r="U41" s="159">
        <f t="shared" si="0"/>
        <v>139436</v>
      </c>
    </row>
    <row r="42" spans="1:21" x14ac:dyDescent="0.25">
      <c r="A42" s="159" t="s">
        <v>378</v>
      </c>
      <c r="B42" s="158" t="s">
        <v>379</v>
      </c>
      <c r="C42" s="159" t="s">
        <v>799</v>
      </c>
      <c r="D42" s="159">
        <v>7</v>
      </c>
      <c r="E42" s="142">
        <v>28</v>
      </c>
      <c r="F42" s="159">
        <v>11200</v>
      </c>
      <c r="G42" s="159">
        <v>13</v>
      </c>
      <c r="H42" s="159">
        <v>39</v>
      </c>
      <c r="I42" s="159">
        <v>19695</v>
      </c>
      <c r="J42" s="159">
        <v>6</v>
      </c>
      <c r="K42" s="159">
        <v>24</v>
      </c>
      <c r="L42" s="142">
        <v>4800</v>
      </c>
      <c r="M42" s="159">
        <v>5</v>
      </c>
      <c r="N42" s="159">
        <v>20</v>
      </c>
      <c r="O42" s="143">
        <v>4000</v>
      </c>
      <c r="P42" s="159">
        <v>31</v>
      </c>
      <c r="Q42" s="143">
        <v>50545</v>
      </c>
      <c r="R42" s="159">
        <v>10850</v>
      </c>
      <c r="S42" s="159">
        <v>31</v>
      </c>
      <c r="T42" s="159">
        <v>50545</v>
      </c>
      <c r="U42" s="159">
        <f t="shared" si="0"/>
        <v>40436</v>
      </c>
    </row>
    <row r="43" spans="1:21" x14ac:dyDescent="0.25">
      <c r="A43" s="159" t="s">
        <v>75</v>
      </c>
      <c r="B43" s="158" t="s">
        <v>525</v>
      </c>
      <c r="C43" s="159" t="s">
        <v>800</v>
      </c>
      <c r="D43" s="159">
        <v>12</v>
      </c>
      <c r="E43" s="142">
        <v>50</v>
      </c>
      <c r="F43" s="159">
        <v>20000</v>
      </c>
      <c r="G43" s="159">
        <v>0</v>
      </c>
      <c r="H43" s="159">
        <v>0</v>
      </c>
      <c r="I43" s="159">
        <v>0</v>
      </c>
      <c r="J43" s="159">
        <v>3</v>
      </c>
      <c r="K43" s="159">
        <v>10</v>
      </c>
      <c r="L43" s="142">
        <v>2000</v>
      </c>
      <c r="M43" s="159">
        <v>2</v>
      </c>
      <c r="N43" s="159">
        <v>10</v>
      </c>
      <c r="O43" s="143">
        <v>2000</v>
      </c>
      <c r="P43" s="159">
        <v>17</v>
      </c>
      <c r="Q43" s="143">
        <v>29950</v>
      </c>
      <c r="R43" s="159">
        <v>5950</v>
      </c>
      <c r="S43" s="159">
        <v>17</v>
      </c>
      <c r="T43" s="159">
        <v>29950</v>
      </c>
      <c r="U43" s="159">
        <f t="shared" si="0"/>
        <v>23960</v>
      </c>
    </row>
    <row r="44" spans="1:21" x14ac:dyDescent="0.25">
      <c r="A44" s="159" t="s">
        <v>76</v>
      </c>
      <c r="B44" s="158" t="s">
        <v>526</v>
      </c>
      <c r="C44" s="159" t="s">
        <v>801</v>
      </c>
      <c r="D44" s="159">
        <v>225</v>
      </c>
      <c r="E44" s="142">
        <v>1125</v>
      </c>
      <c r="F44" s="159">
        <v>450000</v>
      </c>
      <c r="G44" s="159">
        <v>60</v>
      </c>
      <c r="H44" s="159">
        <v>210</v>
      </c>
      <c r="I44" s="159">
        <v>106050</v>
      </c>
      <c r="J44" s="159">
        <v>25</v>
      </c>
      <c r="K44" s="159">
        <v>200</v>
      </c>
      <c r="L44" s="142">
        <v>40000</v>
      </c>
      <c r="M44" s="159">
        <v>15</v>
      </c>
      <c r="N44" s="159">
        <v>150</v>
      </c>
      <c r="O44" s="143">
        <v>30000</v>
      </c>
      <c r="P44" s="159">
        <v>325</v>
      </c>
      <c r="Q44" s="143">
        <v>706050</v>
      </c>
      <c r="R44" s="159">
        <v>80000</v>
      </c>
      <c r="S44" s="159">
        <v>325</v>
      </c>
      <c r="T44" s="159">
        <v>706050</v>
      </c>
      <c r="U44" s="159">
        <f t="shared" si="0"/>
        <v>564840</v>
      </c>
    </row>
    <row r="45" spans="1:21" x14ac:dyDescent="0.25">
      <c r="A45" s="159" t="s">
        <v>77</v>
      </c>
      <c r="B45" s="158" t="s">
        <v>527</v>
      </c>
      <c r="C45" s="159" t="s">
        <v>802</v>
      </c>
      <c r="D45" s="159">
        <v>66</v>
      </c>
      <c r="E45" s="142">
        <v>383</v>
      </c>
      <c r="F45" s="159">
        <v>153200</v>
      </c>
      <c r="G45" s="159">
        <v>17</v>
      </c>
      <c r="H45" s="159">
        <v>82</v>
      </c>
      <c r="I45" s="159">
        <v>41410</v>
      </c>
      <c r="J45" s="159">
        <v>17</v>
      </c>
      <c r="K45" s="159">
        <v>68</v>
      </c>
      <c r="L45" s="142">
        <v>13600</v>
      </c>
      <c r="M45" s="159">
        <v>13</v>
      </c>
      <c r="N45" s="159">
        <v>65</v>
      </c>
      <c r="O45" s="143">
        <v>13000</v>
      </c>
      <c r="P45" s="159">
        <v>113</v>
      </c>
      <c r="Q45" s="143">
        <v>258810</v>
      </c>
      <c r="R45" s="159">
        <v>37600</v>
      </c>
      <c r="S45" s="159">
        <v>113</v>
      </c>
      <c r="T45" s="159">
        <v>258810</v>
      </c>
      <c r="U45" s="159">
        <f t="shared" si="0"/>
        <v>207048</v>
      </c>
    </row>
    <row r="46" spans="1:21" x14ac:dyDescent="0.25">
      <c r="A46" s="159" t="s">
        <v>804</v>
      </c>
      <c r="B46" s="158" t="s">
        <v>1123</v>
      </c>
      <c r="C46" s="159" t="s">
        <v>803</v>
      </c>
      <c r="D46" s="159">
        <v>0</v>
      </c>
      <c r="E46" s="142">
        <v>0</v>
      </c>
      <c r="F46" s="159">
        <v>0</v>
      </c>
      <c r="G46" s="159">
        <v>1</v>
      </c>
      <c r="H46" s="159">
        <v>2</v>
      </c>
      <c r="I46" s="159">
        <v>1010</v>
      </c>
      <c r="J46" s="159">
        <v>1</v>
      </c>
      <c r="K46" s="159">
        <v>5</v>
      </c>
      <c r="L46" s="142">
        <v>1000</v>
      </c>
      <c r="M46" s="159">
        <v>2</v>
      </c>
      <c r="N46" s="159">
        <v>8</v>
      </c>
      <c r="O46" s="143">
        <v>1600</v>
      </c>
      <c r="P46" s="159">
        <v>4</v>
      </c>
      <c r="Q46" s="143">
        <v>5010</v>
      </c>
      <c r="R46" s="159">
        <v>1400</v>
      </c>
      <c r="S46" s="159">
        <v>4</v>
      </c>
      <c r="T46" s="159">
        <v>5010</v>
      </c>
      <c r="U46" s="159">
        <f t="shared" si="0"/>
        <v>4008</v>
      </c>
    </row>
    <row r="47" spans="1:21" x14ac:dyDescent="0.25">
      <c r="A47" s="159" t="s">
        <v>78</v>
      </c>
      <c r="B47" s="158" t="s">
        <v>528</v>
      </c>
      <c r="C47" s="159" t="s">
        <v>805</v>
      </c>
      <c r="D47" s="159">
        <v>18</v>
      </c>
      <c r="E47" s="142">
        <v>90</v>
      </c>
      <c r="F47" s="159">
        <v>36000</v>
      </c>
      <c r="G47" s="159">
        <v>0</v>
      </c>
      <c r="H47" s="159">
        <v>0</v>
      </c>
      <c r="I47" s="159">
        <v>0</v>
      </c>
      <c r="J47" s="159">
        <v>4</v>
      </c>
      <c r="K47" s="159">
        <v>20</v>
      </c>
      <c r="L47" s="142">
        <v>4000</v>
      </c>
      <c r="M47" s="159">
        <v>3</v>
      </c>
      <c r="N47" s="159">
        <v>21</v>
      </c>
      <c r="O47" s="143">
        <v>4200</v>
      </c>
      <c r="P47" s="159">
        <v>25</v>
      </c>
      <c r="Q47" s="143">
        <v>52950</v>
      </c>
      <c r="R47" s="159">
        <v>8750</v>
      </c>
      <c r="S47" s="159">
        <v>25</v>
      </c>
      <c r="T47" s="159">
        <v>52950</v>
      </c>
      <c r="U47" s="159">
        <f t="shared" si="0"/>
        <v>42360</v>
      </c>
    </row>
    <row r="48" spans="1:21" x14ac:dyDescent="0.25">
      <c r="A48" s="159" t="s">
        <v>79</v>
      </c>
      <c r="B48" s="158" t="s">
        <v>529</v>
      </c>
      <c r="C48" s="159" t="s">
        <v>806</v>
      </c>
      <c r="D48" s="159">
        <v>418</v>
      </c>
      <c r="E48" s="142">
        <v>2424</v>
      </c>
      <c r="F48" s="159">
        <v>969600</v>
      </c>
      <c r="G48" s="159">
        <v>88</v>
      </c>
      <c r="H48" s="159">
        <v>352</v>
      </c>
      <c r="I48" s="159">
        <v>177760</v>
      </c>
      <c r="J48" s="159">
        <v>28</v>
      </c>
      <c r="K48" s="159">
        <v>112</v>
      </c>
      <c r="L48" s="142">
        <v>22400</v>
      </c>
      <c r="M48" s="159">
        <v>12</v>
      </c>
      <c r="N48" s="159">
        <v>60</v>
      </c>
      <c r="O48" s="143">
        <v>12000</v>
      </c>
      <c r="P48" s="159">
        <v>546</v>
      </c>
      <c r="Q48" s="143">
        <v>1305960</v>
      </c>
      <c r="R48" s="159">
        <v>124200</v>
      </c>
      <c r="S48" s="159">
        <v>546</v>
      </c>
      <c r="T48" s="159">
        <v>1305960</v>
      </c>
      <c r="U48" s="159">
        <f t="shared" si="0"/>
        <v>1044768</v>
      </c>
    </row>
    <row r="49" spans="1:21" x14ac:dyDescent="0.25">
      <c r="A49" s="159" t="s">
        <v>80</v>
      </c>
      <c r="B49" s="158" t="s">
        <v>530</v>
      </c>
      <c r="C49" s="159" t="s">
        <v>807</v>
      </c>
      <c r="D49" s="159">
        <v>60</v>
      </c>
      <c r="E49" s="142">
        <v>348</v>
      </c>
      <c r="F49" s="159">
        <v>139200</v>
      </c>
      <c r="G49" s="159">
        <v>23</v>
      </c>
      <c r="H49" s="159">
        <v>110</v>
      </c>
      <c r="I49" s="159">
        <v>55550</v>
      </c>
      <c r="J49" s="159">
        <v>7</v>
      </c>
      <c r="K49" s="159">
        <v>42</v>
      </c>
      <c r="L49" s="142">
        <v>8400</v>
      </c>
      <c r="M49" s="159">
        <v>5</v>
      </c>
      <c r="N49" s="159">
        <v>25</v>
      </c>
      <c r="O49" s="143">
        <v>5000</v>
      </c>
      <c r="P49" s="159">
        <v>95</v>
      </c>
      <c r="Q49" s="143">
        <v>241400</v>
      </c>
      <c r="R49" s="159">
        <v>33250</v>
      </c>
      <c r="S49" s="159">
        <v>95</v>
      </c>
      <c r="T49" s="159">
        <v>241400</v>
      </c>
      <c r="U49" s="159">
        <f t="shared" si="0"/>
        <v>193120</v>
      </c>
    </row>
    <row r="50" spans="1:21" x14ac:dyDescent="0.25">
      <c r="A50" s="159" t="s">
        <v>81</v>
      </c>
      <c r="B50" s="158" t="s">
        <v>531</v>
      </c>
      <c r="C50" s="159" t="s">
        <v>808</v>
      </c>
      <c r="D50" s="159">
        <v>4</v>
      </c>
      <c r="E50" s="142">
        <v>20</v>
      </c>
      <c r="F50" s="159">
        <v>8000</v>
      </c>
      <c r="G50" s="159">
        <v>6</v>
      </c>
      <c r="H50" s="159">
        <v>21</v>
      </c>
      <c r="I50" s="159">
        <v>10605</v>
      </c>
      <c r="J50" s="159">
        <v>4</v>
      </c>
      <c r="K50" s="159">
        <v>24</v>
      </c>
      <c r="L50" s="142">
        <v>4800</v>
      </c>
      <c r="M50" s="159">
        <v>3</v>
      </c>
      <c r="N50" s="159">
        <v>18</v>
      </c>
      <c r="O50" s="143">
        <v>3600</v>
      </c>
      <c r="P50" s="159">
        <v>17</v>
      </c>
      <c r="Q50" s="143">
        <v>32955</v>
      </c>
      <c r="R50" s="159">
        <v>5950</v>
      </c>
      <c r="S50" s="159">
        <v>17</v>
      </c>
      <c r="T50" s="159">
        <v>32955</v>
      </c>
      <c r="U50" s="159">
        <f t="shared" si="0"/>
        <v>26364</v>
      </c>
    </row>
    <row r="51" spans="1:21" x14ac:dyDescent="0.25">
      <c r="A51" s="159" t="s">
        <v>82</v>
      </c>
      <c r="B51" s="158" t="s">
        <v>532</v>
      </c>
      <c r="C51" s="159" t="s">
        <v>809</v>
      </c>
      <c r="D51" s="159">
        <v>2</v>
      </c>
      <c r="E51" s="142">
        <v>10</v>
      </c>
      <c r="F51" s="159">
        <v>4000</v>
      </c>
      <c r="G51" s="159">
        <v>1</v>
      </c>
      <c r="H51" s="159">
        <v>3</v>
      </c>
      <c r="I51" s="159">
        <v>1515</v>
      </c>
      <c r="J51" s="159">
        <v>2</v>
      </c>
      <c r="K51" s="159">
        <v>14</v>
      </c>
      <c r="L51" s="142">
        <v>2800</v>
      </c>
      <c r="M51" s="159">
        <v>2</v>
      </c>
      <c r="N51" s="159">
        <v>14</v>
      </c>
      <c r="O51" s="143">
        <v>2800</v>
      </c>
      <c r="P51" s="159">
        <v>7</v>
      </c>
      <c r="Q51" s="143">
        <v>13565</v>
      </c>
      <c r="R51" s="159">
        <v>2450</v>
      </c>
      <c r="S51" s="159">
        <v>7</v>
      </c>
      <c r="T51" s="159">
        <v>13565</v>
      </c>
      <c r="U51" s="159">
        <f t="shared" si="0"/>
        <v>10852</v>
      </c>
    </row>
    <row r="52" spans="1:21" x14ac:dyDescent="0.25">
      <c r="A52" s="159" t="s">
        <v>83</v>
      </c>
      <c r="B52" s="158" t="s">
        <v>440</v>
      </c>
      <c r="C52" s="159" t="s">
        <v>810</v>
      </c>
      <c r="D52" s="159">
        <v>2</v>
      </c>
      <c r="E52" s="142">
        <v>12</v>
      </c>
      <c r="F52" s="159">
        <v>4800</v>
      </c>
      <c r="G52" s="159">
        <v>12</v>
      </c>
      <c r="H52" s="159">
        <v>36</v>
      </c>
      <c r="I52" s="159">
        <v>18180</v>
      </c>
      <c r="J52" s="159">
        <v>4</v>
      </c>
      <c r="K52" s="159">
        <v>12</v>
      </c>
      <c r="L52" s="142">
        <v>2400</v>
      </c>
      <c r="M52" s="159">
        <v>13</v>
      </c>
      <c r="N52" s="159">
        <v>52</v>
      </c>
      <c r="O52" s="143">
        <v>10400</v>
      </c>
      <c r="P52" s="159">
        <v>31</v>
      </c>
      <c r="Q52" s="143">
        <v>46630</v>
      </c>
      <c r="R52" s="159">
        <v>10850</v>
      </c>
      <c r="S52" s="159">
        <v>31</v>
      </c>
      <c r="T52" s="159">
        <v>46630</v>
      </c>
      <c r="U52" s="159">
        <f t="shared" si="0"/>
        <v>37304</v>
      </c>
    </row>
    <row r="53" spans="1:21" x14ac:dyDescent="0.25">
      <c r="A53" s="159" t="s">
        <v>533</v>
      </c>
      <c r="B53" s="158" t="s">
        <v>534</v>
      </c>
      <c r="C53" s="159" t="s">
        <v>811</v>
      </c>
      <c r="D53" s="159">
        <v>4</v>
      </c>
      <c r="E53" s="142">
        <v>23</v>
      </c>
      <c r="F53" s="159">
        <v>9200</v>
      </c>
      <c r="G53" s="159">
        <v>9</v>
      </c>
      <c r="H53" s="159">
        <v>43</v>
      </c>
      <c r="I53" s="159">
        <v>21715</v>
      </c>
      <c r="J53" s="159">
        <v>4</v>
      </c>
      <c r="K53" s="159">
        <v>40</v>
      </c>
      <c r="L53" s="142">
        <v>8000</v>
      </c>
      <c r="M53" s="159">
        <v>6</v>
      </c>
      <c r="N53" s="159">
        <v>60</v>
      </c>
      <c r="O53" s="143">
        <v>12000</v>
      </c>
      <c r="P53" s="159">
        <v>23</v>
      </c>
      <c r="Q53" s="143">
        <v>58965</v>
      </c>
      <c r="R53" s="159">
        <v>8050</v>
      </c>
      <c r="S53" s="159">
        <v>23</v>
      </c>
      <c r="T53" s="159">
        <v>58965</v>
      </c>
      <c r="U53" s="159">
        <f t="shared" si="0"/>
        <v>47172</v>
      </c>
    </row>
    <row r="54" spans="1:21" x14ac:dyDescent="0.25">
      <c r="A54" s="159" t="s">
        <v>84</v>
      </c>
      <c r="B54" s="158" t="s">
        <v>535</v>
      </c>
      <c r="C54" s="159" t="s">
        <v>812</v>
      </c>
      <c r="D54" s="159">
        <v>560</v>
      </c>
      <c r="E54" s="142">
        <v>3100</v>
      </c>
      <c r="F54" s="159">
        <v>1240000</v>
      </c>
      <c r="G54" s="159">
        <v>70</v>
      </c>
      <c r="H54" s="159">
        <v>280</v>
      </c>
      <c r="I54" s="159">
        <v>141400</v>
      </c>
      <c r="J54" s="159">
        <v>57</v>
      </c>
      <c r="K54" s="159">
        <v>300</v>
      </c>
      <c r="L54" s="142">
        <v>60000</v>
      </c>
      <c r="M54" s="159">
        <v>22</v>
      </c>
      <c r="N54" s="159">
        <v>160</v>
      </c>
      <c r="O54" s="143">
        <v>32000</v>
      </c>
      <c r="P54" s="159">
        <v>709</v>
      </c>
      <c r="Q54" s="143">
        <v>1630200</v>
      </c>
      <c r="R54" s="159">
        <v>156800</v>
      </c>
      <c r="S54" s="159">
        <v>709</v>
      </c>
      <c r="T54" s="159">
        <v>1630200</v>
      </c>
      <c r="U54" s="159">
        <f t="shared" si="0"/>
        <v>1304160</v>
      </c>
    </row>
    <row r="55" spans="1:21" x14ac:dyDescent="0.25">
      <c r="A55" s="159" t="s">
        <v>85</v>
      </c>
      <c r="B55" s="158" t="s">
        <v>536</v>
      </c>
      <c r="C55" s="159" t="s">
        <v>813</v>
      </c>
      <c r="D55" s="159">
        <v>26</v>
      </c>
      <c r="E55" s="142">
        <v>150</v>
      </c>
      <c r="F55" s="159">
        <v>60000</v>
      </c>
      <c r="G55" s="159">
        <v>0</v>
      </c>
      <c r="H55" s="159">
        <v>0</v>
      </c>
      <c r="I55" s="159">
        <v>0</v>
      </c>
      <c r="J55" s="159">
        <v>13</v>
      </c>
      <c r="K55" s="159">
        <v>90</v>
      </c>
      <c r="L55" s="142">
        <v>18000</v>
      </c>
      <c r="M55" s="159">
        <v>13</v>
      </c>
      <c r="N55" s="159">
        <v>70</v>
      </c>
      <c r="O55" s="143">
        <v>14000</v>
      </c>
      <c r="P55" s="159">
        <v>52</v>
      </c>
      <c r="Q55" s="143">
        <v>110200</v>
      </c>
      <c r="R55" s="159">
        <v>18200</v>
      </c>
      <c r="S55" s="159">
        <v>52</v>
      </c>
      <c r="T55" s="159">
        <v>110200</v>
      </c>
      <c r="U55" s="159">
        <f t="shared" si="0"/>
        <v>88160</v>
      </c>
    </row>
    <row r="56" spans="1:21" x14ac:dyDescent="0.25">
      <c r="A56" s="159" t="s">
        <v>86</v>
      </c>
      <c r="B56" s="158" t="s">
        <v>537</v>
      </c>
      <c r="C56" s="159" t="s">
        <v>814</v>
      </c>
      <c r="D56" s="159">
        <v>190</v>
      </c>
      <c r="E56" s="142">
        <v>950</v>
      </c>
      <c r="F56" s="159">
        <v>380000</v>
      </c>
      <c r="G56" s="159">
        <v>50</v>
      </c>
      <c r="H56" s="159">
        <v>240</v>
      </c>
      <c r="I56" s="159">
        <v>121200</v>
      </c>
      <c r="J56" s="159">
        <v>8</v>
      </c>
      <c r="K56" s="159">
        <v>32</v>
      </c>
      <c r="L56" s="142">
        <v>6400</v>
      </c>
      <c r="M56" s="159">
        <v>8</v>
      </c>
      <c r="N56" s="159">
        <v>40</v>
      </c>
      <c r="O56" s="143">
        <v>8000</v>
      </c>
      <c r="P56" s="159">
        <v>256</v>
      </c>
      <c r="Q56" s="143">
        <v>581800</v>
      </c>
      <c r="R56" s="159">
        <v>66200</v>
      </c>
      <c r="S56" s="159">
        <v>256</v>
      </c>
      <c r="T56" s="159">
        <v>581800</v>
      </c>
      <c r="U56" s="159">
        <f t="shared" si="0"/>
        <v>465440</v>
      </c>
    </row>
    <row r="57" spans="1:21" x14ac:dyDescent="0.25">
      <c r="A57" s="159" t="s">
        <v>87</v>
      </c>
      <c r="B57" s="158" t="s">
        <v>441</v>
      </c>
      <c r="C57" s="159" t="s">
        <v>815</v>
      </c>
      <c r="D57" s="159">
        <v>13</v>
      </c>
      <c r="E57" s="142">
        <v>75</v>
      </c>
      <c r="F57" s="159">
        <v>30000</v>
      </c>
      <c r="G57" s="159">
        <v>0</v>
      </c>
      <c r="H57" s="159">
        <v>0</v>
      </c>
      <c r="I57" s="159">
        <v>0</v>
      </c>
      <c r="J57" s="159">
        <v>3</v>
      </c>
      <c r="K57" s="159">
        <v>15</v>
      </c>
      <c r="L57" s="142">
        <v>3000</v>
      </c>
      <c r="M57" s="159">
        <v>2</v>
      </c>
      <c r="N57" s="159">
        <v>10</v>
      </c>
      <c r="O57" s="143">
        <v>2000</v>
      </c>
      <c r="P57" s="159">
        <v>18</v>
      </c>
      <c r="Q57" s="143">
        <v>41300</v>
      </c>
      <c r="R57" s="159">
        <v>6300</v>
      </c>
      <c r="S57" s="159">
        <v>18</v>
      </c>
      <c r="T57" s="159">
        <v>41300</v>
      </c>
      <c r="U57" s="159">
        <f t="shared" si="0"/>
        <v>33040</v>
      </c>
    </row>
    <row r="58" spans="1:21" x14ac:dyDescent="0.25">
      <c r="A58" s="159" t="s">
        <v>88</v>
      </c>
      <c r="B58" s="158" t="s">
        <v>538</v>
      </c>
      <c r="C58" s="159" t="s">
        <v>816</v>
      </c>
      <c r="D58" s="159">
        <v>362</v>
      </c>
      <c r="E58" s="142">
        <v>1810</v>
      </c>
      <c r="F58" s="159">
        <v>724000</v>
      </c>
      <c r="G58" s="159">
        <v>91</v>
      </c>
      <c r="H58" s="159">
        <v>437</v>
      </c>
      <c r="I58" s="159">
        <v>220685</v>
      </c>
      <c r="J58" s="159">
        <v>41</v>
      </c>
      <c r="K58" s="159">
        <v>328</v>
      </c>
      <c r="L58" s="142">
        <v>65600</v>
      </c>
      <c r="M58" s="159">
        <v>36</v>
      </c>
      <c r="N58" s="159">
        <v>288</v>
      </c>
      <c r="O58" s="143">
        <v>57600</v>
      </c>
      <c r="P58" s="159">
        <v>530</v>
      </c>
      <c r="Q58" s="143">
        <v>1188885</v>
      </c>
      <c r="R58" s="159">
        <v>121000</v>
      </c>
      <c r="S58" s="159">
        <v>530</v>
      </c>
      <c r="T58" s="159">
        <v>1188885</v>
      </c>
      <c r="U58" s="159">
        <f t="shared" si="0"/>
        <v>951108</v>
      </c>
    </row>
    <row r="59" spans="1:21" x14ac:dyDescent="0.25">
      <c r="A59" s="159" t="s">
        <v>89</v>
      </c>
      <c r="B59" s="158" t="s">
        <v>442</v>
      </c>
      <c r="C59" s="159" t="s">
        <v>817</v>
      </c>
      <c r="D59" s="159">
        <v>15</v>
      </c>
      <c r="E59" s="142">
        <v>87</v>
      </c>
      <c r="F59" s="159">
        <v>34800</v>
      </c>
      <c r="G59" s="159">
        <v>9</v>
      </c>
      <c r="H59" s="159">
        <v>27</v>
      </c>
      <c r="I59" s="159">
        <v>13635</v>
      </c>
      <c r="J59" s="159">
        <v>8</v>
      </c>
      <c r="K59" s="159">
        <v>40</v>
      </c>
      <c r="L59" s="142">
        <v>8000</v>
      </c>
      <c r="M59" s="159">
        <v>3</v>
      </c>
      <c r="N59" s="159">
        <v>21</v>
      </c>
      <c r="O59" s="143">
        <v>4200</v>
      </c>
      <c r="P59" s="159">
        <v>35</v>
      </c>
      <c r="Q59" s="143">
        <v>72885</v>
      </c>
      <c r="R59" s="159">
        <v>12250</v>
      </c>
      <c r="S59" s="159">
        <v>35</v>
      </c>
      <c r="T59" s="159">
        <v>72885</v>
      </c>
      <c r="U59" s="159">
        <f t="shared" si="0"/>
        <v>58308</v>
      </c>
    </row>
    <row r="60" spans="1:21" x14ac:dyDescent="0.25">
      <c r="A60" s="159" t="s">
        <v>90</v>
      </c>
      <c r="B60" s="158" t="s">
        <v>443</v>
      </c>
      <c r="C60" s="159" t="s">
        <v>818</v>
      </c>
      <c r="D60" s="159">
        <v>310</v>
      </c>
      <c r="E60" s="142">
        <v>1550</v>
      </c>
      <c r="F60" s="159">
        <v>620000</v>
      </c>
      <c r="G60" s="159">
        <v>142</v>
      </c>
      <c r="H60" s="159">
        <v>682</v>
      </c>
      <c r="I60" s="159">
        <v>344410</v>
      </c>
      <c r="J60" s="159">
        <v>21</v>
      </c>
      <c r="K60" s="159">
        <v>88</v>
      </c>
      <c r="L60" s="142">
        <v>17600</v>
      </c>
      <c r="M60" s="159">
        <v>24</v>
      </c>
      <c r="N60" s="159">
        <v>100</v>
      </c>
      <c r="O60" s="143">
        <v>20000</v>
      </c>
      <c r="P60" s="159">
        <v>497</v>
      </c>
      <c r="Q60" s="143">
        <v>1116410</v>
      </c>
      <c r="R60" s="159">
        <v>114400</v>
      </c>
      <c r="S60" s="159">
        <v>497</v>
      </c>
      <c r="T60" s="159">
        <v>1116410</v>
      </c>
      <c r="U60" s="159">
        <f t="shared" si="0"/>
        <v>893128</v>
      </c>
    </row>
    <row r="61" spans="1:21" x14ac:dyDescent="0.25">
      <c r="A61" s="159" t="s">
        <v>91</v>
      </c>
      <c r="B61" s="158" t="s">
        <v>539</v>
      </c>
      <c r="C61" s="159" t="s">
        <v>819</v>
      </c>
      <c r="D61" s="159">
        <v>2</v>
      </c>
      <c r="E61" s="142">
        <v>6</v>
      </c>
      <c r="F61" s="159">
        <v>2400</v>
      </c>
      <c r="G61" s="159">
        <v>3</v>
      </c>
      <c r="H61" s="159">
        <v>6</v>
      </c>
      <c r="I61" s="159">
        <v>3030</v>
      </c>
      <c r="J61" s="159">
        <v>2</v>
      </c>
      <c r="K61" s="159">
        <v>10</v>
      </c>
      <c r="L61" s="142">
        <v>2000</v>
      </c>
      <c r="M61" s="159">
        <v>1</v>
      </c>
      <c r="N61" s="159">
        <v>5</v>
      </c>
      <c r="O61" s="143">
        <v>1000</v>
      </c>
      <c r="P61" s="159">
        <v>8</v>
      </c>
      <c r="Q61" s="143">
        <v>11230</v>
      </c>
      <c r="R61" s="159">
        <v>2800</v>
      </c>
      <c r="S61" s="159">
        <v>8</v>
      </c>
      <c r="T61" s="159">
        <v>11230</v>
      </c>
      <c r="U61" s="159">
        <f t="shared" si="0"/>
        <v>8984</v>
      </c>
    </row>
    <row r="62" spans="1:21" x14ac:dyDescent="0.25">
      <c r="A62" s="159" t="s">
        <v>92</v>
      </c>
      <c r="B62" s="158" t="s">
        <v>540</v>
      </c>
      <c r="C62" s="159" t="s">
        <v>820</v>
      </c>
      <c r="D62" s="159">
        <v>21</v>
      </c>
      <c r="E62" s="142">
        <v>84</v>
      </c>
      <c r="F62" s="159">
        <v>33600</v>
      </c>
      <c r="G62" s="159">
        <v>7</v>
      </c>
      <c r="H62" s="159">
        <v>28</v>
      </c>
      <c r="I62" s="159">
        <v>14140</v>
      </c>
      <c r="J62" s="159">
        <v>2</v>
      </c>
      <c r="K62" s="159">
        <v>10</v>
      </c>
      <c r="L62" s="142">
        <v>2000</v>
      </c>
      <c r="M62" s="159">
        <v>2</v>
      </c>
      <c r="N62" s="159">
        <v>10</v>
      </c>
      <c r="O62" s="143">
        <v>2000</v>
      </c>
      <c r="P62" s="159">
        <v>32</v>
      </c>
      <c r="Q62" s="143">
        <v>62940</v>
      </c>
      <c r="R62" s="159">
        <v>11200</v>
      </c>
      <c r="S62" s="159">
        <v>32</v>
      </c>
      <c r="T62" s="159">
        <v>62940</v>
      </c>
      <c r="U62" s="159">
        <f t="shared" si="0"/>
        <v>50352</v>
      </c>
    </row>
    <row r="63" spans="1:21" x14ac:dyDescent="0.25">
      <c r="A63" s="159" t="s">
        <v>93</v>
      </c>
      <c r="B63" s="158" t="s">
        <v>541</v>
      </c>
      <c r="C63" s="159" t="s">
        <v>821</v>
      </c>
      <c r="D63" s="159">
        <v>21</v>
      </c>
      <c r="E63" s="142">
        <v>105</v>
      </c>
      <c r="F63" s="159">
        <v>42000</v>
      </c>
      <c r="G63" s="159">
        <v>17</v>
      </c>
      <c r="H63" s="159">
        <v>82</v>
      </c>
      <c r="I63" s="159">
        <v>41410</v>
      </c>
      <c r="J63" s="159">
        <v>9</v>
      </c>
      <c r="K63" s="159">
        <v>63</v>
      </c>
      <c r="L63" s="142">
        <v>12600</v>
      </c>
      <c r="M63" s="159">
        <v>17</v>
      </c>
      <c r="N63" s="159">
        <v>119</v>
      </c>
      <c r="O63" s="143">
        <v>23800</v>
      </c>
      <c r="P63" s="159">
        <v>64</v>
      </c>
      <c r="Q63" s="143">
        <v>142210</v>
      </c>
      <c r="R63" s="159">
        <v>22400</v>
      </c>
      <c r="S63" s="159">
        <v>64</v>
      </c>
      <c r="T63" s="159">
        <v>142210</v>
      </c>
      <c r="U63" s="159">
        <f t="shared" si="0"/>
        <v>113768</v>
      </c>
    </row>
    <row r="64" spans="1:21" x14ac:dyDescent="0.25">
      <c r="A64" s="159" t="s">
        <v>94</v>
      </c>
      <c r="B64" s="158" t="s">
        <v>444</v>
      </c>
      <c r="C64" s="159" t="s">
        <v>822</v>
      </c>
      <c r="D64" s="159">
        <v>96</v>
      </c>
      <c r="E64" s="142">
        <v>432</v>
      </c>
      <c r="F64" s="159">
        <v>172800</v>
      </c>
      <c r="G64" s="159">
        <v>12</v>
      </c>
      <c r="H64" s="159">
        <v>30</v>
      </c>
      <c r="I64" s="159">
        <v>15150</v>
      </c>
      <c r="J64" s="159">
        <v>7</v>
      </c>
      <c r="K64" s="159">
        <v>28</v>
      </c>
      <c r="L64" s="142">
        <v>5600</v>
      </c>
      <c r="M64" s="159">
        <v>7</v>
      </c>
      <c r="N64" s="159">
        <v>28</v>
      </c>
      <c r="O64" s="143">
        <v>5600</v>
      </c>
      <c r="P64" s="159">
        <v>122</v>
      </c>
      <c r="Q64" s="143">
        <v>238550</v>
      </c>
      <c r="R64" s="159">
        <v>39400</v>
      </c>
      <c r="S64" s="159">
        <v>122</v>
      </c>
      <c r="T64" s="159">
        <v>238550</v>
      </c>
      <c r="U64" s="159">
        <f t="shared" si="0"/>
        <v>190840</v>
      </c>
    </row>
    <row r="65" spans="1:21" x14ac:dyDescent="0.25">
      <c r="A65" s="159" t="s">
        <v>824</v>
      </c>
      <c r="B65" s="158" t="s">
        <v>1124</v>
      </c>
      <c r="C65" s="159" t="s">
        <v>823</v>
      </c>
      <c r="D65" s="159">
        <v>0</v>
      </c>
      <c r="E65" s="142">
        <v>0</v>
      </c>
      <c r="F65" s="159">
        <v>0</v>
      </c>
      <c r="G65" s="159">
        <v>26</v>
      </c>
      <c r="H65" s="159">
        <v>54</v>
      </c>
      <c r="I65" s="159">
        <v>27270</v>
      </c>
      <c r="J65" s="159">
        <v>3</v>
      </c>
      <c r="K65" s="159">
        <v>45</v>
      </c>
      <c r="L65" s="142">
        <v>9000</v>
      </c>
      <c r="M65" s="159">
        <v>0</v>
      </c>
      <c r="N65" s="159">
        <v>0</v>
      </c>
      <c r="O65" s="143">
        <v>0</v>
      </c>
      <c r="P65" s="159">
        <v>29</v>
      </c>
      <c r="Q65" s="143">
        <v>46420</v>
      </c>
      <c r="R65" s="159">
        <v>10150</v>
      </c>
      <c r="S65" s="159">
        <v>29</v>
      </c>
      <c r="T65" s="159">
        <v>46420</v>
      </c>
      <c r="U65" s="159">
        <f t="shared" si="0"/>
        <v>37136</v>
      </c>
    </row>
    <row r="66" spans="1:21" x14ac:dyDescent="0.25">
      <c r="A66" s="159" t="s">
        <v>95</v>
      </c>
      <c r="B66" s="158" t="s">
        <v>542</v>
      </c>
      <c r="C66" s="159" t="s">
        <v>825</v>
      </c>
      <c r="D66" s="159">
        <v>2</v>
      </c>
      <c r="E66" s="142">
        <v>12</v>
      </c>
      <c r="F66" s="159">
        <v>4800</v>
      </c>
      <c r="G66" s="159">
        <v>5</v>
      </c>
      <c r="H66" s="159">
        <v>15</v>
      </c>
      <c r="I66" s="159">
        <v>7575</v>
      </c>
      <c r="J66" s="159">
        <v>2</v>
      </c>
      <c r="K66" s="159">
        <v>6</v>
      </c>
      <c r="L66" s="142">
        <v>1200</v>
      </c>
      <c r="M66" s="159">
        <v>2</v>
      </c>
      <c r="N66" s="159">
        <v>10</v>
      </c>
      <c r="O66" s="143">
        <v>2000</v>
      </c>
      <c r="P66" s="159">
        <v>11</v>
      </c>
      <c r="Q66" s="143">
        <v>19425</v>
      </c>
      <c r="R66" s="159">
        <v>3850</v>
      </c>
      <c r="S66" s="159">
        <v>11</v>
      </c>
      <c r="T66" s="159">
        <v>19425</v>
      </c>
      <c r="U66" s="159">
        <f t="shared" si="0"/>
        <v>15540</v>
      </c>
    </row>
    <row r="67" spans="1:21" x14ac:dyDescent="0.25">
      <c r="A67" s="159" t="s">
        <v>96</v>
      </c>
      <c r="B67" s="158" t="s">
        <v>543</v>
      </c>
      <c r="C67" s="159" t="s">
        <v>826</v>
      </c>
      <c r="D67" s="159">
        <v>124</v>
      </c>
      <c r="E67" s="142">
        <v>583</v>
      </c>
      <c r="F67" s="159">
        <v>233200</v>
      </c>
      <c r="G67" s="159">
        <v>0</v>
      </c>
      <c r="H67" s="159">
        <v>0</v>
      </c>
      <c r="I67" s="159">
        <v>0</v>
      </c>
      <c r="J67" s="159">
        <v>15</v>
      </c>
      <c r="K67" s="159">
        <v>75</v>
      </c>
      <c r="L67" s="142">
        <v>15000</v>
      </c>
      <c r="M67" s="159">
        <v>2</v>
      </c>
      <c r="N67" s="159">
        <v>10</v>
      </c>
      <c r="O67" s="143">
        <v>2000</v>
      </c>
      <c r="P67" s="159">
        <v>141</v>
      </c>
      <c r="Q67" s="143">
        <v>293400</v>
      </c>
      <c r="R67" s="159">
        <v>43200</v>
      </c>
      <c r="S67" s="159">
        <v>141</v>
      </c>
      <c r="T67" s="159">
        <v>293400</v>
      </c>
      <c r="U67" s="159">
        <f t="shared" si="0"/>
        <v>234720</v>
      </c>
    </row>
    <row r="68" spans="1:21" x14ac:dyDescent="0.25">
      <c r="A68" s="159" t="s">
        <v>97</v>
      </c>
      <c r="B68" s="158" t="s">
        <v>544</v>
      </c>
      <c r="C68" s="159" t="s">
        <v>827</v>
      </c>
      <c r="D68" s="159">
        <v>48</v>
      </c>
      <c r="E68" s="142">
        <v>278</v>
      </c>
      <c r="F68" s="159">
        <v>111200</v>
      </c>
      <c r="G68" s="159">
        <v>0</v>
      </c>
      <c r="H68" s="159">
        <v>0</v>
      </c>
      <c r="I68" s="159">
        <v>0</v>
      </c>
      <c r="J68" s="159">
        <v>5</v>
      </c>
      <c r="K68" s="159">
        <v>25</v>
      </c>
      <c r="L68" s="142">
        <v>5000</v>
      </c>
      <c r="M68" s="159">
        <v>6</v>
      </c>
      <c r="N68" s="159">
        <v>30</v>
      </c>
      <c r="O68" s="143">
        <v>6000</v>
      </c>
      <c r="P68" s="159">
        <v>59</v>
      </c>
      <c r="Q68" s="143">
        <v>142850</v>
      </c>
      <c r="R68" s="159">
        <v>20650</v>
      </c>
      <c r="S68" s="159">
        <v>59</v>
      </c>
      <c r="T68" s="159">
        <v>142850</v>
      </c>
      <c r="U68" s="159">
        <f t="shared" ref="U68:U131" si="1">T68*0.8</f>
        <v>114280</v>
      </c>
    </row>
    <row r="69" spans="1:21" x14ac:dyDescent="0.25">
      <c r="A69" s="159" t="s">
        <v>98</v>
      </c>
      <c r="B69" s="158" t="s">
        <v>445</v>
      </c>
      <c r="C69" s="159" t="s">
        <v>828</v>
      </c>
      <c r="D69" s="159">
        <v>37</v>
      </c>
      <c r="E69" s="142">
        <v>167</v>
      </c>
      <c r="F69" s="159">
        <v>66800</v>
      </c>
      <c r="G69" s="159">
        <v>23</v>
      </c>
      <c r="H69" s="159">
        <v>105</v>
      </c>
      <c r="I69" s="159">
        <v>53025</v>
      </c>
      <c r="J69" s="159">
        <v>5</v>
      </c>
      <c r="K69" s="159">
        <v>30</v>
      </c>
      <c r="L69" s="142">
        <v>6000</v>
      </c>
      <c r="M69" s="159">
        <v>3</v>
      </c>
      <c r="N69" s="159">
        <v>21</v>
      </c>
      <c r="O69" s="143">
        <v>4200</v>
      </c>
      <c r="P69" s="159">
        <v>68</v>
      </c>
      <c r="Q69" s="143">
        <v>153825</v>
      </c>
      <c r="R69" s="159">
        <v>23800</v>
      </c>
      <c r="S69" s="159">
        <v>68</v>
      </c>
      <c r="T69" s="159">
        <v>153825</v>
      </c>
      <c r="U69" s="159">
        <f t="shared" si="1"/>
        <v>123060</v>
      </c>
    </row>
    <row r="70" spans="1:21" x14ac:dyDescent="0.25">
      <c r="A70" s="159" t="s">
        <v>99</v>
      </c>
      <c r="B70" s="158" t="s">
        <v>545</v>
      </c>
      <c r="C70" s="159" t="s">
        <v>829</v>
      </c>
      <c r="D70" s="159">
        <v>60</v>
      </c>
      <c r="E70" s="142">
        <v>300</v>
      </c>
      <c r="F70" s="159">
        <v>120000</v>
      </c>
      <c r="G70" s="159">
        <v>0</v>
      </c>
      <c r="H70" s="159">
        <v>0</v>
      </c>
      <c r="I70" s="159">
        <v>0</v>
      </c>
      <c r="J70" s="159">
        <v>43</v>
      </c>
      <c r="K70" s="159">
        <v>215</v>
      </c>
      <c r="L70" s="142">
        <v>43000</v>
      </c>
      <c r="M70" s="159">
        <v>7</v>
      </c>
      <c r="N70" s="159">
        <v>35</v>
      </c>
      <c r="O70" s="143">
        <v>7000</v>
      </c>
      <c r="P70" s="159">
        <v>110</v>
      </c>
      <c r="Q70" s="143">
        <v>207000</v>
      </c>
      <c r="R70" s="159">
        <v>37000</v>
      </c>
      <c r="S70" s="159">
        <v>110</v>
      </c>
      <c r="T70" s="159">
        <v>207000</v>
      </c>
      <c r="U70" s="159">
        <f t="shared" si="1"/>
        <v>165600</v>
      </c>
    </row>
    <row r="71" spans="1:21" x14ac:dyDescent="0.25">
      <c r="A71" s="159" t="s">
        <v>100</v>
      </c>
      <c r="B71" s="158" t="s">
        <v>545</v>
      </c>
      <c r="C71" s="159" t="s">
        <v>830</v>
      </c>
      <c r="D71" s="159">
        <v>0</v>
      </c>
      <c r="E71" s="142">
        <v>0</v>
      </c>
      <c r="F71" s="159">
        <v>0</v>
      </c>
      <c r="G71" s="159">
        <v>148</v>
      </c>
      <c r="H71" s="159">
        <v>666</v>
      </c>
      <c r="I71" s="159">
        <v>336330</v>
      </c>
      <c r="J71" s="159">
        <v>0</v>
      </c>
      <c r="K71" s="159">
        <v>0</v>
      </c>
      <c r="L71" s="142">
        <v>0</v>
      </c>
      <c r="M71" s="159">
        <v>0</v>
      </c>
      <c r="N71" s="159">
        <v>0</v>
      </c>
      <c r="O71" s="143">
        <v>0</v>
      </c>
      <c r="P71" s="159">
        <v>148</v>
      </c>
      <c r="Q71" s="143">
        <v>380930</v>
      </c>
      <c r="R71" s="159">
        <v>44600</v>
      </c>
      <c r="S71" s="159">
        <v>148</v>
      </c>
      <c r="T71" s="159">
        <v>380930</v>
      </c>
      <c r="U71" s="159">
        <f t="shared" si="1"/>
        <v>304744</v>
      </c>
    </row>
    <row r="72" spans="1:21" x14ac:dyDescent="0.25">
      <c r="A72" s="159" t="s">
        <v>101</v>
      </c>
      <c r="B72" s="158" t="s">
        <v>546</v>
      </c>
      <c r="C72" s="159" t="s">
        <v>831</v>
      </c>
      <c r="D72" s="159">
        <v>322</v>
      </c>
      <c r="E72" s="142">
        <v>1868</v>
      </c>
      <c r="F72" s="159">
        <v>747200</v>
      </c>
      <c r="G72" s="159">
        <v>0</v>
      </c>
      <c r="H72" s="159">
        <v>0</v>
      </c>
      <c r="I72" s="159">
        <v>0</v>
      </c>
      <c r="J72" s="159">
        <v>14</v>
      </c>
      <c r="K72" s="159">
        <v>84</v>
      </c>
      <c r="L72" s="142">
        <v>16800</v>
      </c>
      <c r="M72" s="159">
        <v>23</v>
      </c>
      <c r="N72" s="159">
        <v>138</v>
      </c>
      <c r="O72" s="143">
        <v>27600</v>
      </c>
      <c r="P72" s="159">
        <v>359</v>
      </c>
      <c r="Q72" s="143">
        <v>878400</v>
      </c>
      <c r="R72" s="159">
        <v>86800</v>
      </c>
      <c r="S72" s="159">
        <v>359</v>
      </c>
      <c r="T72" s="159">
        <v>878400</v>
      </c>
      <c r="U72" s="159">
        <f t="shared" si="1"/>
        <v>702720</v>
      </c>
    </row>
    <row r="73" spans="1:21" x14ac:dyDescent="0.25">
      <c r="A73" s="159" t="s">
        <v>102</v>
      </c>
      <c r="B73" s="158" t="s">
        <v>547</v>
      </c>
      <c r="C73" s="159" t="s">
        <v>832</v>
      </c>
      <c r="D73" s="159">
        <v>78</v>
      </c>
      <c r="E73" s="142">
        <v>390</v>
      </c>
      <c r="F73" s="159">
        <v>156000</v>
      </c>
      <c r="G73" s="159">
        <v>25</v>
      </c>
      <c r="H73" s="159">
        <v>120</v>
      </c>
      <c r="I73" s="159">
        <v>60600</v>
      </c>
      <c r="J73" s="159">
        <v>19</v>
      </c>
      <c r="K73" s="159">
        <v>133</v>
      </c>
      <c r="L73" s="142">
        <v>26600</v>
      </c>
      <c r="M73" s="159">
        <v>9</v>
      </c>
      <c r="N73" s="159">
        <v>73</v>
      </c>
      <c r="O73" s="143">
        <v>14600</v>
      </c>
      <c r="P73" s="159">
        <v>131</v>
      </c>
      <c r="Q73" s="143">
        <v>299000</v>
      </c>
      <c r="R73" s="159">
        <v>41200</v>
      </c>
      <c r="S73" s="159">
        <v>131</v>
      </c>
      <c r="T73" s="159">
        <v>299000</v>
      </c>
      <c r="U73" s="159">
        <f t="shared" si="1"/>
        <v>239200</v>
      </c>
    </row>
    <row r="74" spans="1:21" x14ac:dyDescent="0.25">
      <c r="A74" s="159" t="s">
        <v>103</v>
      </c>
      <c r="B74" s="158" t="s">
        <v>548</v>
      </c>
      <c r="C74" s="159" t="s">
        <v>833</v>
      </c>
      <c r="D74" s="159">
        <v>16</v>
      </c>
      <c r="E74" s="142">
        <v>80</v>
      </c>
      <c r="F74" s="159">
        <v>32000</v>
      </c>
      <c r="G74" s="159">
        <v>16</v>
      </c>
      <c r="H74" s="159">
        <v>77</v>
      </c>
      <c r="I74" s="159">
        <v>38885</v>
      </c>
      <c r="J74" s="159">
        <v>12</v>
      </c>
      <c r="K74" s="159">
        <v>84</v>
      </c>
      <c r="L74" s="142">
        <v>16800</v>
      </c>
      <c r="M74" s="159">
        <v>5</v>
      </c>
      <c r="N74" s="159">
        <v>35</v>
      </c>
      <c r="O74" s="143">
        <v>7000</v>
      </c>
      <c r="P74" s="159">
        <v>49</v>
      </c>
      <c r="Q74" s="143">
        <v>111835</v>
      </c>
      <c r="R74" s="159">
        <v>17150</v>
      </c>
      <c r="S74" s="159">
        <v>49</v>
      </c>
      <c r="T74" s="159">
        <v>111835</v>
      </c>
      <c r="U74" s="159">
        <f t="shared" si="1"/>
        <v>89468</v>
      </c>
    </row>
    <row r="75" spans="1:21" x14ac:dyDescent="0.25">
      <c r="A75" s="159" t="s">
        <v>380</v>
      </c>
      <c r="B75" s="158" t="s">
        <v>549</v>
      </c>
      <c r="C75" s="159" t="s">
        <v>834</v>
      </c>
      <c r="D75" s="159">
        <v>105</v>
      </c>
      <c r="E75" s="142">
        <v>420</v>
      </c>
      <c r="F75" s="159">
        <v>168000</v>
      </c>
      <c r="G75" s="159">
        <v>36</v>
      </c>
      <c r="H75" s="159">
        <v>173</v>
      </c>
      <c r="I75" s="159">
        <v>87365</v>
      </c>
      <c r="J75" s="159">
        <v>7</v>
      </c>
      <c r="K75" s="159">
        <v>21</v>
      </c>
      <c r="L75" s="142">
        <v>4200</v>
      </c>
      <c r="M75" s="159">
        <v>9</v>
      </c>
      <c r="N75" s="159">
        <v>45</v>
      </c>
      <c r="O75" s="143">
        <v>9000</v>
      </c>
      <c r="P75" s="159">
        <v>157</v>
      </c>
      <c r="Q75" s="143">
        <v>314965</v>
      </c>
      <c r="R75" s="159">
        <v>46400</v>
      </c>
      <c r="S75" s="159">
        <v>157</v>
      </c>
      <c r="T75" s="159">
        <v>314965</v>
      </c>
      <c r="U75" s="159">
        <f t="shared" si="1"/>
        <v>251972</v>
      </c>
    </row>
    <row r="76" spans="1:21" x14ac:dyDescent="0.25">
      <c r="A76" s="159" t="s">
        <v>104</v>
      </c>
      <c r="B76" s="158" t="s">
        <v>446</v>
      </c>
      <c r="C76" s="159" t="s">
        <v>835</v>
      </c>
      <c r="D76" s="159">
        <v>7</v>
      </c>
      <c r="E76" s="142">
        <v>39</v>
      </c>
      <c r="F76" s="159">
        <v>15600</v>
      </c>
      <c r="G76" s="159">
        <v>0</v>
      </c>
      <c r="H76" s="159">
        <v>0</v>
      </c>
      <c r="I76" s="159">
        <v>0</v>
      </c>
      <c r="J76" s="159">
        <v>3</v>
      </c>
      <c r="K76" s="159">
        <v>9</v>
      </c>
      <c r="L76" s="142">
        <v>1800</v>
      </c>
      <c r="M76" s="159">
        <v>0</v>
      </c>
      <c r="N76" s="159">
        <v>0</v>
      </c>
      <c r="O76" s="143">
        <v>0</v>
      </c>
      <c r="P76" s="159">
        <v>10</v>
      </c>
      <c r="Q76" s="143">
        <v>20900</v>
      </c>
      <c r="R76" s="159">
        <v>3500</v>
      </c>
      <c r="S76" s="159">
        <v>10</v>
      </c>
      <c r="T76" s="159">
        <v>20900</v>
      </c>
      <c r="U76" s="159">
        <f t="shared" si="1"/>
        <v>16720</v>
      </c>
    </row>
    <row r="77" spans="1:21" x14ac:dyDescent="0.25">
      <c r="A77" s="159" t="s">
        <v>105</v>
      </c>
      <c r="B77" s="158" t="s">
        <v>550</v>
      </c>
      <c r="C77" s="159" t="s">
        <v>836</v>
      </c>
      <c r="D77" s="159">
        <v>305</v>
      </c>
      <c r="E77" s="142">
        <v>1769</v>
      </c>
      <c r="F77" s="159">
        <v>707600</v>
      </c>
      <c r="G77" s="159">
        <v>34</v>
      </c>
      <c r="H77" s="159">
        <v>163</v>
      </c>
      <c r="I77" s="159">
        <v>82315</v>
      </c>
      <c r="J77" s="159">
        <v>17</v>
      </c>
      <c r="K77" s="159">
        <v>119</v>
      </c>
      <c r="L77" s="142">
        <v>23800</v>
      </c>
      <c r="M77" s="159">
        <v>5</v>
      </c>
      <c r="N77" s="159">
        <v>35</v>
      </c>
      <c r="O77" s="143">
        <v>7000</v>
      </c>
      <c r="P77" s="159">
        <v>361</v>
      </c>
      <c r="Q77" s="143">
        <v>907915</v>
      </c>
      <c r="R77" s="159">
        <v>87200</v>
      </c>
      <c r="S77" s="159">
        <v>361</v>
      </c>
      <c r="T77" s="159">
        <v>907915</v>
      </c>
      <c r="U77" s="159">
        <f t="shared" si="1"/>
        <v>726332</v>
      </c>
    </row>
    <row r="78" spans="1:21" x14ac:dyDescent="0.25">
      <c r="A78" s="159" t="s">
        <v>106</v>
      </c>
      <c r="B78" s="158" t="s">
        <v>551</v>
      </c>
      <c r="C78" s="159" t="s">
        <v>837</v>
      </c>
      <c r="D78" s="159">
        <v>74</v>
      </c>
      <c r="E78" s="142">
        <v>348</v>
      </c>
      <c r="F78" s="159">
        <v>139200</v>
      </c>
      <c r="G78" s="159">
        <v>24</v>
      </c>
      <c r="H78" s="159">
        <v>115</v>
      </c>
      <c r="I78" s="159">
        <v>58075</v>
      </c>
      <c r="J78" s="159">
        <v>4</v>
      </c>
      <c r="K78" s="159">
        <v>20</v>
      </c>
      <c r="L78" s="142">
        <v>4000</v>
      </c>
      <c r="M78" s="159">
        <v>5</v>
      </c>
      <c r="N78" s="159">
        <v>50</v>
      </c>
      <c r="O78" s="143">
        <v>10000</v>
      </c>
      <c r="P78" s="159">
        <v>107</v>
      </c>
      <c r="Q78" s="143">
        <v>247675</v>
      </c>
      <c r="R78" s="159">
        <v>36400</v>
      </c>
      <c r="S78" s="159">
        <v>107</v>
      </c>
      <c r="T78" s="159">
        <v>247675</v>
      </c>
      <c r="U78" s="159">
        <f t="shared" si="1"/>
        <v>198140</v>
      </c>
    </row>
    <row r="79" spans="1:21" x14ac:dyDescent="0.25">
      <c r="A79" s="159" t="s">
        <v>107</v>
      </c>
      <c r="B79" s="158" t="s">
        <v>552</v>
      </c>
      <c r="C79" s="159" t="s">
        <v>838</v>
      </c>
      <c r="D79" s="159">
        <v>192</v>
      </c>
      <c r="E79" s="142">
        <v>576</v>
      </c>
      <c r="F79" s="159">
        <v>230400</v>
      </c>
      <c r="G79" s="159">
        <v>75</v>
      </c>
      <c r="H79" s="159">
        <v>150</v>
      </c>
      <c r="I79" s="159">
        <v>75750</v>
      </c>
      <c r="J79" s="159">
        <v>15</v>
      </c>
      <c r="K79" s="159">
        <v>75</v>
      </c>
      <c r="L79" s="142">
        <v>15000</v>
      </c>
      <c r="M79" s="159">
        <v>11</v>
      </c>
      <c r="N79" s="159">
        <v>55</v>
      </c>
      <c r="O79" s="143">
        <v>11000</v>
      </c>
      <c r="P79" s="159">
        <v>293</v>
      </c>
      <c r="Q79" s="143">
        <v>405750</v>
      </c>
      <c r="R79" s="159">
        <v>73600</v>
      </c>
      <c r="S79" s="159">
        <v>293</v>
      </c>
      <c r="T79" s="159">
        <v>405750</v>
      </c>
      <c r="U79" s="159">
        <f t="shared" si="1"/>
        <v>324600</v>
      </c>
    </row>
    <row r="80" spans="1:21" x14ac:dyDescent="0.25">
      <c r="A80" s="159" t="s">
        <v>108</v>
      </c>
      <c r="B80" s="158" t="s">
        <v>553</v>
      </c>
      <c r="C80" s="159" t="s">
        <v>839</v>
      </c>
      <c r="D80" s="159">
        <v>80</v>
      </c>
      <c r="E80" s="142">
        <v>464</v>
      </c>
      <c r="F80" s="159">
        <v>185600</v>
      </c>
      <c r="G80" s="159">
        <v>0</v>
      </c>
      <c r="H80" s="159">
        <v>0</v>
      </c>
      <c r="I80" s="159">
        <v>0</v>
      </c>
      <c r="J80" s="159">
        <v>19</v>
      </c>
      <c r="K80" s="159">
        <v>95</v>
      </c>
      <c r="L80" s="142">
        <v>19000</v>
      </c>
      <c r="M80" s="159">
        <v>10</v>
      </c>
      <c r="N80" s="159">
        <v>50</v>
      </c>
      <c r="O80" s="143">
        <v>10000</v>
      </c>
      <c r="P80" s="159">
        <v>109</v>
      </c>
      <c r="Q80" s="143">
        <v>251400</v>
      </c>
      <c r="R80" s="159">
        <v>36800</v>
      </c>
      <c r="S80" s="159">
        <v>109</v>
      </c>
      <c r="T80" s="159">
        <v>251400</v>
      </c>
      <c r="U80" s="159">
        <f t="shared" si="1"/>
        <v>201120</v>
      </c>
    </row>
    <row r="81" spans="1:21" x14ac:dyDescent="0.25">
      <c r="A81" s="159" t="s">
        <v>109</v>
      </c>
      <c r="B81" s="158" t="s">
        <v>554</v>
      </c>
      <c r="C81" s="159" t="s">
        <v>840</v>
      </c>
      <c r="D81" s="159">
        <v>496</v>
      </c>
      <c r="E81" s="142">
        <v>2530</v>
      </c>
      <c r="F81" s="159">
        <v>1012000</v>
      </c>
      <c r="G81" s="159">
        <v>0</v>
      </c>
      <c r="H81" s="159">
        <v>0</v>
      </c>
      <c r="I81" s="159">
        <v>0</v>
      </c>
      <c r="J81" s="159">
        <v>77</v>
      </c>
      <c r="K81" s="159">
        <v>385</v>
      </c>
      <c r="L81" s="142">
        <v>77000</v>
      </c>
      <c r="M81" s="159">
        <v>30</v>
      </c>
      <c r="N81" s="159">
        <v>150</v>
      </c>
      <c r="O81" s="143">
        <v>30000</v>
      </c>
      <c r="P81" s="159">
        <v>603</v>
      </c>
      <c r="Q81" s="143">
        <v>1254600</v>
      </c>
      <c r="R81" s="159">
        <v>135600</v>
      </c>
      <c r="S81" s="159">
        <v>603</v>
      </c>
      <c r="T81" s="159">
        <v>1254600</v>
      </c>
      <c r="U81" s="159">
        <f t="shared" si="1"/>
        <v>1003680</v>
      </c>
    </row>
    <row r="82" spans="1:21" x14ac:dyDescent="0.25">
      <c r="A82" s="159" t="s">
        <v>110</v>
      </c>
      <c r="B82" s="158" t="s">
        <v>554</v>
      </c>
      <c r="C82" s="159" t="s">
        <v>841</v>
      </c>
      <c r="D82" s="159">
        <v>0</v>
      </c>
      <c r="E82" s="142">
        <v>0</v>
      </c>
      <c r="F82" s="159">
        <v>0</v>
      </c>
      <c r="G82" s="159">
        <v>378</v>
      </c>
      <c r="H82" s="159">
        <v>1814</v>
      </c>
      <c r="I82" s="159">
        <v>916070</v>
      </c>
      <c r="J82" s="159">
        <v>0</v>
      </c>
      <c r="K82" s="159">
        <v>0</v>
      </c>
      <c r="L82" s="142">
        <v>0</v>
      </c>
      <c r="M82" s="159">
        <v>22</v>
      </c>
      <c r="N82" s="159">
        <v>154</v>
      </c>
      <c r="O82" s="143">
        <v>30800</v>
      </c>
      <c r="P82" s="159">
        <v>400</v>
      </c>
      <c r="Q82" s="143">
        <v>1041870</v>
      </c>
      <c r="R82" s="159">
        <v>95000</v>
      </c>
      <c r="S82" s="159">
        <v>400</v>
      </c>
      <c r="T82" s="159">
        <v>1041870</v>
      </c>
      <c r="U82" s="159">
        <f t="shared" si="1"/>
        <v>833496</v>
      </c>
    </row>
    <row r="83" spans="1:21" x14ac:dyDescent="0.25">
      <c r="A83" s="159" t="s">
        <v>111</v>
      </c>
      <c r="B83" s="158" t="s">
        <v>447</v>
      </c>
      <c r="C83" s="159" t="s">
        <v>842</v>
      </c>
      <c r="D83" s="159">
        <v>14</v>
      </c>
      <c r="E83" s="142">
        <v>70</v>
      </c>
      <c r="F83" s="159">
        <v>28000</v>
      </c>
      <c r="G83" s="159">
        <v>0</v>
      </c>
      <c r="H83" s="159">
        <v>0</v>
      </c>
      <c r="I83" s="159">
        <v>0</v>
      </c>
      <c r="J83" s="159">
        <v>2</v>
      </c>
      <c r="K83" s="159">
        <v>10</v>
      </c>
      <c r="L83" s="142">
        <v>2000</v>
      </c>
      <c r="M83" s="159">
        <v>2</v>
      </c>
      <c r="N83" s="159">
        <v>10</v>
      </c>
      <c r="O83" s="143">
        <v>2000</v>
      </c>
      <c r="P83" s="159">
        <v>18</v>
      </c>
      <c r="Q83" s="143">
        <v>38300</v>
      </c>
      <c r="R83" s="159">
        <v>6300</v>
      </c>
      <c r="S83" s="159">
        <v>18</v>
      </c>
      <c r="T83" s="159">
        <v>38300</v>
      </c>
      <c r="U83" s="159">
        <f t="shared" si="1"/>
        <v>30640</v>
      </c>
    </row>
    <row r="84" spans="1:21" x14ac:dyDescent="0.25">
      <c r="A84" s="159" t="s">
        <v>112</v>
      </c>
      <c r="B84" s="158" t="s">
        <v>448</v>
      </c>
      <c r="C84" s="159" t="s">
        <v>843</v>
      </c>
      <c r="D84" s="159">
        <v>7</v>
      </c>
      <c r="E84" s="142">
        <v>41</v>
      </c>
      <c r="F84" s="159">
        <v>16400</v>
      </c>
      <c r="G84" s="159">
        <v>0</v>
      </c>
      <c r="H84" s="159">
        <v>0</v>
      </c>
      <c r="I84" s="159">
        <v>0</v>
      </c>
      <c r="J84" s="159">
        <v>6</v>
      </c>
      <c r="K84" s="159">
        <v>26</v>
      </c>
      <c r="L84" s="142">
        <v>5200</v>
      </c>
      <c r="M84" s="159">
        <v>2</v>
      </c>
      <c r="N84" s="159">
        <v>10</v>
      </c>
      <c r="O84" s="143">
        <v>2000</v>
      </c>
      <c r="P84" s="159">
        <v>15</v>
      </c>
      <c r="Q84" s="143">
        <v>28850</v>
      </c>
      <c r="R84" s="159">
        <v>5250</v>
      </c>
      <c r="S84" s="159">
        <v>15</v>
      </c>
      <c r="T84" s="159">
        <v>28850</v>
      </c>
      <c r="U84" s="159">
        <f t="shared" si="1"/>
        <v>23080</v>
      </c>
    </row>
    <row r="85" spans="1:21" x14ac:dyDescent="0.25">
      <c r="A85" s="159" t="s">
        <v>113</v>
      </c>
      <c r="B85" s="158" t="s">
        <v>555</v>
      </c>
      <c r="C85" s="159" t="s">
        <v>844</v>
      </c>
      <c r="D85" s="159">
        <v>7</v>
      </c>
      <c r="E85" s="142">
        <v>35</v>
      </c>
      <c r="F85" s="159">
        <v>14000</v>
      </c>
      <c r="G85" s="159">
        <v>5</v>
      </c>
      <c r="H85" s="159">
        <v>24</v>
      </c>
      <c r="I85" s="159">
        <v>12120</v>
      </c>
      <c r="J85" s="159">
        <v>3</v>
      </c>
      <c r="K85" s="159">
        <v>12</v>
      </c>
      <c r="L85" s="142">
        <v>2400</v>
      </c>
      <c r="M85" s="159">
        <v>6</v>
      </c>
      <c r="N85" s="159">
        <v>30</v>
      </c>
      <c r="O85" s="143">
        <v>6000</v>
      </c>
      <c r="P85" s="159">
        <v>21</v>
      </c>
      <c r="Q85" s="143">
        <v>41870</v>
      </c>
      <c r="R85" s="159">
        <v>7350</v>
      </c>
      <c r="S85" s="159">
        <v>21</v>
      </c>
      <c r="T85" s="159">
        <v>41870</v>
      </c>
      <c r="U85" s="159">
        <f t="shared" si="1"/>
        <v>33496</v>
      </c>
    </row>
    <row r="86" spans="1:21" x14ac:dyDescent="0.25">
      <c r="A86" s="159" t="s">
        <v>114</v>
      </c>
      <c r="B86" s="158" t="s">
        <v>449</v>
      </c>
      <c r="C86" s="159" t="s">
        <v>845</v>
      </c>
      <c r="D86" s="159">
        <v>1</v>
      </c>
      <c r="E86" s="142">
        <v>4</v>
      </c>
      <c r="F86" s="159">
        <v>1600</v>
      </c>
      <c r="G86" s="159">
        <v>1</v>
      </c>
      <c r="H86" s="159">
        <v>4</v>
      </c>
      <c r="I86" s="159">
        <v>2020</v>
      </c>
      <c r="J86" s="159">
        <v>4</v>
      </c>
      <c r="K86" s="159">
        <v>20</v>
      </c>
      <c r="L86" s="142">
        <v>4000</v>
      </c>
      <c r="M86" s="159">
        <v>4</v>
      </c>
      <c r="N86" s="159">
        <v>20</v>
      </c>
      <c r="O86" s="143">
        <v>4000</v>
      </c>
      <c r="P86" s="159">
        <v>10</v>
      </c>
      <c r="Q86" s="143">
        <v>15120</v>
      </c>
      <c r="R86" s="159">
        <v>3500</v>
      </c>
      <c r="S86" s="159">
        <v>10</v>
      </c>
      <c r="T86" s="159">
        <v>15120</v>
      </c>
      <c r="U86" s="159">
        <f t="shared" si="1"/>
        <v>12096</v>
      </c>
    </row>
    <row r="87" spans="1:21" x14ac:dyDescent="0.25">
      <c r="A87" s="159" t="s">
        <v>450</v>
      </c>
      <c r="B87" s="158" t="s">
        <v>451</v>
      </c>
      <c r="C87" s="159" t="s">
        <v>846</v>
      </c>
      <c r="D87" s="159">
        <v>0</v>
      </c>
      <c r="E87" s="142">
        <v>0</v>
      </c>
      <c r="F87" s="159">
        <v>0</v>
      </c>
      <c r="G87" s="159">
        <v>0</v>
      </c>
      <c r="H87" s="159">
        <v>0</v>
      </c>
      <c r="I87" s="159">
        <v>0</v>
      </c>
      <c r="J87" s="159">
        <v>5</v>
      </c>
      <c r="K87" s="159">
        <v>40</v>
      </c>
      <c r="L87" s="142">
        <v>8000</v>
      </c>
      <c r="M87" s="159">
        <v>130</v>
      </c>
      <c r="N87" s="159">
        <v>780</v>
      </c>
      <c r="O87" s="143">
        <v>156000</v>
      </c>
      <c r="P87" s="159">
        <v>135</v>
      </c>
      <c r="Q87" s="143">
        <v>206000</v>
      </c>
      <c r="R87" s="159">
        <v>42000</v>
      </c>
      <c r="S87" s="159">
        <v>135</v>
      </c>
      <c r="T87" s="159">
        <v>206000</v>
      </c>
      <c r="U87" s="159">
        <f t="shared" si="1"/>
        <v>164800</v>
      </c>
    </row>
    <row r="88" spans="1:21" x14ac:dyDescent="0.25">
      <c r="A88" s="159" t="s">
        <v>115</v>
      </c>
      <c r="B88" s="158" t="s">
        <v>556</v>
      </c>
      <c r="C88" s="159" t="s">
        <v>847</v>
      </c>
      <c r="D88" s="159">
        <v>295</v>
      </c>
      <c r="E88" s="142">
        <v>1475</v>
      </c>
      <c r="F88" s="159">
        <v>590000</v>
      </c>
      <c r="G88" s="159">
        <v>55</v>
      </c>
      <c r="H88" s="159">
        <v>220</v>
      </c>
      <c r="I88" s="159">
        <v>111100</v>
      </c>
      <c r="J88" s="159">
        <v>30</v>
      </c>
      <c r="K88" s="159">
        <v>210</v>
      </c>
      <c r="L88" s="142">
        <v>42000</v>
      </c>
      <c r="M88" s="159">
        <v>16</v>
      </c>
      <c r="N88" s="159">
        <v>112</v>
      </c>
      <c r="O88" s="143">
        <v>22400</v>
      </c>
      <c r="P88" s="159">
        <v>396</v>
      </c>
      <c r="Q88" s="143">
        <v>859700</v>
      </c>
      <c r="R88" s="159">
        <v>94200</v>
      </c>
      <c r="S88" s="159">
        <v>396</v>
      </c>
      <c r="T88" s="159">
        <v>859700</v>
      </c>
      <c r="U88" s="159">
        <f t="shared" si="1"/>
        <v>687760</v>
      </c>
    </row>
    <row r="89" spans="1:21" x14ac:dyDescent="0.25">
      <c r="A89" s="159" t="s">
        <v>116</v>
      </c>
      <c r="B89" s="158" t="s">
        <v>557</v>
      </c>
      <c r="C89" s="159" t="s">
        <v>848</v>
      </c>
      <c r="D89" s="159">
        <v>99</v>
      </c>
      <c r="E89" s="142">
        <v>495</v>
      </c>
      <c r="F89" s="159">
        <v>198000</v>
      </c>
      <c r="G89" s="159">
        <v>20</v>
      </c>
      <c r="H89" s="159">
        <v>96</v>
      </c>
      <c r="I89" s="159">
        <v>48480</v>
      </c>
      <c r="J89" s="159">
        <v>4</v>
      </c>
      <c r="K89" s="159">
        <v>20</v>
      </c>
      <c r="L89" s="142">
        <v>4000</v>
      </c>
      <c r="M89" s="159">
        <v>3</v>
      </c>
      <c r="N89" s="159">
        <v>15</v>
      </c>
      <c r="O89" s="143">
        <v>3000</v>
      </c>
      <c r="P89" s="159">
        <v>126</v>
      </c>
      <c r="Q89" s="143">
        <v>293680</v>
      </c>
      <c r="R89" s="159">
        <v>40200</v>
      </c>
      <c r="S89" s="159">
        <v>126</v>
      </c>
      <c r="T89" s="159">
        <v>293680</v>
      </c>
      <c r="U89" s="159">
        <f t="shared" si="1"/>
        <v>234944</v>
      </c>
    </row>
    <row r="90" spans="1:21" x14ac:dyDescent="0.25">
      <c r="A90" s="159" t="s">
        <v>117</v>
      </c>
      <c r="B90" s="158" t="s">
        <v>558</v>
      </c>
      <c r="C90" s="159" t="s">
        <v>849</v>
      </c>
      <c r="D90" s="159">
        <v>7</v>
      </c>
      <c r="E90" s="142">
        <v>41</v>
      </c>
      <c r="F90" s="159">
        <v>16400</v>
      </c>
      <c r="G90" s="159">
        <v>1</v>
      </c>
      <c r="H90" s="159">
        <v>4</v>
      </c>
      <c r="I90" s="159">
        <v>2020</v>
      </c>
      <c r="J90" s="159">
        <v>8</v>
      </c>
      <c r="K90" s="159">
        <v>32</v>
      </c>
      <c r="L90" s="142">
        <v>6400</v>
      </c>
      <c r="M90" s="159">
        <v>2</v>
      </c>
      <c r="N90" s="159">
        <v>8</v>
      </c>
      <c r="O90" s="143">
        <v>1600</v>
      </c>
      <c r="P90" s="159">
        <v>18</v>
      </c>
      <c r="Q90" s="143">
        <v>32720</v>
      </c>
      <c r="R90" s="159">
        <v>6300</v>
      </c>
      <c r="S90" s="159">
        <v>18</v>
      </c>
      <c r="T90" s="159">
        <v>32720</v>
      </c>
      <c r="U90" s="159">
        <f t="shared" si="1"/>
        <v>26176</v>
      </c>
    </row>
    <row r="91" spans="1:21" x14ac:dyDescent="0.25">
      <c r="A91" s="159" t="s">
        <v>381</v>
      </c>
      <c r="B91" s="158" t="s">
        <v>452</v>
      </c>
      <c r="C91" s="159" t="s">
        <v>850</v>
      </c>
      <c r="D91" s="159">
        <v>3</v>
      </c>
      <c r="E91" s="142">
        <v>14</v>
      </c>
      <c r="F91" s="159">
        <v>5600</v>
      </c>
      <c r="G91" s="159">
        <v>2</v>
      </c>
      <c r="H91" s="159">
        <v>10</v>
      </c>
      <c r="I91" s="159">
        <v>5050</v>
      </c>
      <c r="J91" s="159">
        <v>2</v>
      </c>
      <c r="K91" s="159">
        <v>10</v>
      </c>
      <c r="L91" s="142">
        <v>2000</v>
      </c>
      <c r="M91" s="159">
        <v>2</v>
      </c>
      <c r="N91" s="159">
        <v>10</v>
      </c>
      <c r="O91" s="143">
        <v>2000</v>
      </c>
      <c r="P91" s="159">
        <v>9</v>
      </c>
      <c r="Q91" s="143">
        <v>17800</v>
      </c>
      <c r="R91" s="159">
        <v>3150</v>
      </c>
      <c r="S91" s="159">
        <v>9</v>
      </c>
      <c r="T91" s="159">
        <v>17800</v>
      </c>
      <c r="U91" s="159">
        <f t="shared" si="1"/>
        <v>14240</v>
      </c>
    </row>
    <row r="92" spans="1:21" x14ac:dyDescent="0.25">
      <c r="A92" s="159" t="s">
        <v>118</v>
      </c>
      <c r="B92" s="158" t="s">
        <v>559</v>
      </c>
      <c r="C92" s="159" t="s">
        <v>851</v>
      </c>
      <c r="D92" s="159">
        <v>25</v>
      </c>
      <c r="E92" s="142">
        <v>125</v>
      </c>
      <c r="F92" s="159">
        <v>50000</v>
      </c>
      <c r="G92" s="159">
        <v>0</v>
      </c>
      <c r="H92" s="159">
        <v>0</v>
      </c>
      <c r="I92" s="159">
        <v>0</v>
      </c>
      <c r="J92" s="159">
        <v>6</v>
      </c>
      <c r="K92" s="159">
        <v>24</v>
      </c>
      <c r="L92" s="142">
        <v>4800</v>
      </c>
      <c r="M92" s="159">
        <v>8</v>
      </c>
      <c r="N92" s="159">
        <v>36</v>
      </c>
      <c r="O92" s="143">
        <v>7200</v>
      </c>
      <c r="P92" s="159">
        <v>39</v>
      </c>
      <c r="Q92" s="143">
        <v>75650</v>
      </c>
      <c r="R92" s="159">
        <v>13650</v>
      </c>
      <c r="S92" s="159">
        <v>39</v>
      </c>
      <c r="T92" s="159">
        <v>75650</v>
      </c>
      <c r="U92" s="159">
        <f t="shared" si="1"/>
        <v>60520</v>
      </c>
    </row>
    <row r="93" spans="1:21" x14ac:dyDescent="0.25">
      <c r="A93" s="159" t="s">
        <v>119</v>
      </c>
      <c r="B93" s="158" t="s">
        <v>560</v>
      </c>
      <c r="C93" s="159" t="s">
        <v>852</v>
      </c>
      <c r="D93" s="159">
        <v>163</v>
      </c>
      <c r="E93" s="142">
        <v>810</v>
      </c>
      <c r="F93" s="159">
        <v>324000</v>
      </c>
      <c r="G93" s="159">
        <v>25</v>
      </c>
      <c r="H93" s="159">
        <v>120</v>
      </c>
      <c r="I93" s="159">
        <v>60600</v>
      </c>
      <c r="J93" s="159">
        <v>22</v>
      </c>
      <c r="K93" s="159">
        <v>110</v>
      </c>
      <c r="L93" s="142">
        <v>22000</v>
      </c>
      <c r="M93" s="159">
        <v>8</v>
      </c>
      <c r="N93" s="159">
        <v>44</v>
      </c>
      <c r="O93" s="143">
        <v>8800</v>
      </c>
      <c r="P93" s="159">
        <v>218</v>
      </c>
      <c r="Q93" s="143">
        <v>474000</v>
      </c>
      <c r="R93" s="159">
        <v>58600</v>
      </c>
      <c r="S93" s="159">
        <v>218</v>
      </c>
      <c r="T93" s="159">
        <v>474000</v>
      </c>
      <c r="U93" s="159">
        <f t="shared" si="1"/>
        <v>379200</v>
      </c>
    </row>
    <row r="94" spans="1:21" x14ac:dyDescent="0.25">
      <c r="A94" s="159" t="s">
        <v>120</v>
      </c>
      <c r="B94" s="158" t="s">
        <v>453</v>
      </c>
      <c r="C94" s="159" t="s">
        <v>853</v>
      </c>
      <c r="D94" s="159">
        <v>46</v>
      </c>
      <c r="E94" s="142">
        <v>200</v>
      </c>
      <c r="F94" s="159">
        <v>80000</v>
      </c>
      <c r="G94" s="159">
        <v>0</v>
      </c>
      <c r="H94" s="159">
        <v>0</v>
      </c>
      <c r="I94" s="159">
        <v>0</v>
      </c>
      <c r="J94" s="159">
        <v>2</v>
      </c>
      <c r="K94" s="159">
        <v>15</v>
      </c>
      <c r="L94" s="142">
        <v>3000</v>
      </c>
      <c r="M94" s="159">
        <v>2</v>
      </c>
      <c r="N94" s="159">
        <v>13</v>
      </c>
      <c r="O94" s="143">
        <v>2600</v>
      </c>
      <c r="P94" s="159">
        <v>50</v>
      </c>
      <c r="Q94" s="143">
        <v>103100</v>
      </c>
      <c r="R94" s="159">
        <v>17500</v>
      </c>
      <c r="S94" s="159">
        <v>50</v>
      </c>
      <c r="T94" s="159">
        <v>103100</v>
      </c>
      <c r="U94" s="159">
        <f t="shared" si="1"/>
        <v>82480</v>
      </c>
    </row>
    <row r="95" spans="1:21" x14ac:dyDescent="0.25">
      <c r="A95" s="159" t="s">
        <v>121</v>
      </c>
      <c r="B95" s="158" t="s">
        <v>561</v>
      </c>
      <c r="C95" s="159" t="s">
        <v>854</v>
      </c>
      <c r="D95" s="159">
        <v>75</v>
      </c>
      <c r="E95" s="142">
        <v>348</v>
      </c>
      <c r="F95" s="159">
        <v>139200</v>
      </c>
      <c r="G95" s="159">
        <v>12</v>
      </c>
      <c r="H95" s="159">
        <v>58</v>
      </c>
      <c r="I95" s="159">
        <v>29290</v>
      </c>
      <c r="J95" s="159">
        <v>25</v>
      </c>
      <c r="K95" s="159">
        <v>175</v>
      </c>
      <c r="L95" s="142">
        <v>35000</v>
      </c>
      <c r="M95" s="159">
        <v>15</v>
      </c>
      <c r="N95" s="159">
        <v>105</v>
      </c>
      <c r="O95" s="143">
        <v>21000</v>
      </c>
      <c r="P95" s="159">
        <v>127</v>
      </c>
      <c r="Q95" s="143">
        <v>264890</v>
      </c>
      <c r="R95" s="159">
        <v>40400</v>
      </c>
      <c r="S95" s="159">
        <v>127</v>
      </c>
      <c r="T95" s="159">
        <v>264890</v>
      </c>
      <c r="U95" s="159">
        <f t="shared" si="1"/>
        <v>211912</v>
      </c>
    </row>
    <row r="96" spans="1:21" x14ac:dyDescent="0.25">
      <c r="A96" s="159" t="s">
        <v>122</v>
      </c>
      <c r="B96" s="158" t="s">
        <v>454</v>
      </c>
      <c r="C96" s="159" t="s">
        <v>855</v>
      </c>
      <c r="D96" s="159">
        <v>6</v>
      </c>
      <c r="E96" s="142">
        <v>35</v>
      </c>
      <c r="F96" s="159">
        <v>14000</v>
      </c>
      <c r="G96" s="159">
        <v>8</v>
      </c>
      <c r="H96" s="159">
        <v>38</v>
      </c>
      <c r="I96" s="159">
        <v>19190</v>
      </c>
      <c r="J96" s="159">
        <v>2</v>
      </c>
      <c r="K96" s="159">
        <v>12</v>
      </c>
      <c r="L96" s="142">
        <v>2400</v>
      </c>
      <c r="M96" s="159">
        <v>2</v>
      </c>
      <c r="N96" s="159">
        <v>12</v>
      </c>
      <c r="O96" s="143">
        <v>2400</v>
      </c>
      <c r="P96" s="159">
        <v>18</v>
      </c>
      <c r="Q96" s="143">
        <v>44290</v>
      </c>
      <c r="R96" s="159">
        <v>6300</v>
      </c>
      <c r="S96" s="159">
        <v>18</v>
      </c>
      <c r="T96" s="159">
        <v>44290</v>
      </c>
      <c r="U96" s="159">
        <f t="shared" si="1"/>
        <v>35432</v>
      </c>
    </row>
    <row r="97" spans="1:21" x14ac:dyDescent="0.25">
      <c r="A97" s="159" t="s">
        <v>123</v>
      </c>
      <c r="B97" s="158" t="s">
        <v>562</v>
      </c>
      <c r="C97" s="159" t="s">
        <v>856</v>
      </c>
      <c r="D97" s="159">
        <v>6</v>
      </c>
      <c r="E97" s="142">
        <v>30</v>
      </c>
      <c r="F97" s="159">
        <v>12000</v>
      </c>
      <c r="G97" s="159">
        <v>0</v>
      </c>
      <c r="H97" s="159">
        <v>0</v>
      </c>
      <c r="I97" s="159">
        <v>0</v>
      </c>
      <c r="J97" s="159">
        <v>0</v>
      </c>
      <c r="K97" s="159">
        <v>0</v>
      </c>
      <c r="L97" s="142">
        <v>0</v>
      </c>
      <c r="M97" s="159">
        <v>0</v>
      </c>
      <c r="N97" s="159">
        <v>0</v>
      </c>
      <c r="O97" s="143">
        <v>0</v>
      </c>
      <c r="P97" s="159">
        <v>6</v>
      </c>
      <c r="Q97" s="143">
        <v>14100</v>
      </c>
      <c r="R97" s="159">
        <v>2100</v>
      </c>
      <c r="S97" s="159">
        <v>6</v>
      </c>
      <c r="T97" s="159">
        <v>14100</v>
      </c>
      <c r="U97" s="159">
        <f t="shared" si="1"/>
        <v>11280</v>
      </c>
    </row>
    <row r="98" spans="1:21" x14ac:dyDescent="0.25">
      <c r="A98" s="159" t="s">
        <v>124</v>
      </c>
      <c r="B98" s="158" t="s">
        <v>563</v>
      </c>
      <c r="C98" s="159" t="s">
        <v>857</v>
      </c>
      <c r="D98" s="159">
        <v>95</v>
      </c>
      <c r="E98" s="142">
        <v>450</v>
      </c>
      <c r="F98" s="159">
        <v>180000</v>
      </c>
      <c r="G98" s="159">
        <v>0</v>
      </c>
      <c r="H98" s="159">
        <v>0</v>
      </c>
      <c r="I98" s="159">
        <v>0</v>
      </c>
      <c r="J98" s="159">
        <v>5</v>
      </c>
      <c r="K98" s="159">
        <v>28</v>
      </c>
      <c r="L98" s="142">
        <v>5600</v>
      </c>
      <c r="M98" s="159">
        <v>2</v>
      </c>
      <c r="N98" s="159">
        <v>9</v>
      </c>
      <c r="O98" s="143">
        <v>1800</v>
      </c>
      <c r="P98" s="159">
        <v>102</v>
      </c>
      <c r="Q98" s="143">
        <v>222800</v>
      </c>
      <c r="R98" s="159">
        <v>35400</v>
      </c>
      <c r="S98" s="159">
        <v>102</v>
      </c>
      <c r="T98" s="159">
        <v>222800</v>
      </c>
      <c r="U98" s="159">
        <f t="shared" si="1"/>
        <v>178240</v>
      </c>
    </row>
    <row r="99" spans="1:21" x14ac:dyDescent="0.25">
      <c r="A99" s="159" t="s">
        <v>125</v>
      </c>
      <c r="B99" s="158" t="s">
        <v>564</v>
      </c>
      <c r="C99" s="159" t="s">
        <v>858</v>
      </c>
      <c r="D99" s="159">
        <v>540</v>
      </c>
      <c r="E99" s="142">
        <v>3132</v>
      </c>
      <c r="F99" s="159">
        <v>1252800</v>
      </c>
      <c r="G99" s="159">
        <v>100</v>
      </c>
      <c r="H99" s="159">
        <v>480</v>
      </c>
      <c r="I99" s="159">
        <v>242400</v>
      </c>
      <c r="J99" s="159">
        <v>30</v>
      </c>
      <c r="K99" s="159">
        <v>120</v>
      </c>
      <c r="L99" s="142">
        <v>24000</v>
      </c>
      <c r="M99" s="159">
        <v>95</v>
      </c>
      <c r="N99" s="159">
        <v>475</v>
      </c>
      <c r="O99" s="143">
        <v>95000</v>
      </c>
      <c r="P99" s="159">
        <v>765</v>
      </c>
      <c r="Q99" s="143">
        <v>1782200</v>
      </c>
      <c r="R99" s="159">
        <v>168000</v>
      </c>
      <c r="S99" s="159">
        <v>765</v>
      </c>
      <c r="T99" s="159">
        <v>1782200</v>
      </c>
      <c r="U99" s="159">
        <f t="shared" si="1"/>
        <v>1425760</v>
      </c>
    </row>
    <row r="100" spans="1:21" x14ac:dyDescent="0.25">
      <c r="A100" s="159" t="s">
        <v>126</v>
      </c>
      <c r="B100" s="158" t="s">
        <v>455</v>
      </c>
      <c r="C100" s="159" t="s">
        <v>859</v>
      </c>
      <c r="D100" s="159">
        <v>4</v>
      </c>
      <c r="E100" s="142">
        <v>23</v>
      </c>
      <c r="F100" s="159">
        <v>9200</v>
      </c>
      <c r="G100" s="159">
        <v>6</v>
      </c>
      <c r="H100" s="159">
        <v>21</v>
      </c>
      <c r="I100" s="159">
        <v>10605</v>
      </c>
      <c r="J100" s="159">
        <v>1</v>
      </c>
      <c r="K100" s="159">
        <v>7</v>
      </c>
      <c r="L100" s="142">
        <v>1400</v>
      </c>
      <c r="M100" s="159">
        <v>0</v>
      </c>
      <c r="N100" s="159">
        <v>0</v>
      </c>
      <c r="O100" s="143">
        <v>0</v>
      </c>
      <c r="P100" s="159">
        <v>11</v>
      </c>
      <c r="Q100" s="143">
        <v>25055</v>
      </c>
      <c r="R100" s="159">
        <v>3850</v>
      </c>
      <c r="S100" s="159">
        <v>11</v>
      </c>
      <c r="T100" s="159">
        <v>25055</v>
      </c>
      <c r="U100" s="159">
        <f t="shared" si="1"/>
        <v>20044</v>
      </c>
    </row>
    <row r="101" spans="1:21" x14ac:dyDescent="0.25">
      <c r="A101" s="159" t="s">
        <v>127</v>
      </c>
      <c r="B101" s="158" t="s">
        <v>456</v>
      </c>
      <c r="C101" s="159" t="s">
        <v>860</v>
      </c>
      <c r="D101" s="159">
        <v>16</v>
      </c>
      <c r="E101" s="142">
        <v>93</v>
      </c>
      <c r="F101" s="159">
        <v>37200</v>
      </c>
      <c r="G101" s="159">
        <v>4</v>
      </c>
      <c r="H101" s="159">
        <v>19</v>
      </c>
      <c r="I101" s="159">
        <v>9595</v>
      </c>
      <c r="J101" s="159">
        <v>11</v>
      </c>
      <c r="K101" s="159">
        <v>46</v>
      </c>
      <c r="L101" s="142">
        <v>9200</v>
      </c>
      <c r="M101" s="159">
        <v>6</v>
      </c>
      <c r="N101" s="159">
        <v>35</v>
      </c>
      <c r="O101" s="143">
        <v>7000</v>
      </c>
      <c r="P101" s="159">
        <v>37</v>
      </c>
      <c r="Q101" s="143">
        <v>75945</v>
      </c>
      <c r="R101" s="159">
        <v>12950</v>
      </c>
      <c r="S101" s="159">
        <v>37</v>
      </c>
      <c r="T101" s="159">
        <v>75945</v>
      </c>
      <c r="U101" s="159">
        <f t="shared" si="1"/>
        <v>60756</v>
      </c>
    </row>
    <row r="102" spans="1:21" x14ac:dyDescent="0.25">
      <c r="A102" s="159" t="s">
        <v>128</v>
      </c>
      <c r="B102" s="158" t="s">
        <v>565</v>
      </c>
      <c r="C102" s="159" t="s">
        <v>861</v>
      </c>
      <c r="D102" s="159">
        <v>23</v>
      </c>
      <c r="E102" s="142">
        <v>115</v>
      </c>
      <c r="F102" s="159">
        <v>46000</v>
      </c>
      <c r="G102" s="159">
        <v>0</v>
      </c>
      <c r="H102" s="159">
        <v>0</v>
      </c>
      <c r="I102" s="159">
        <v>0</v>
      </c>
      <c r="J102" s="159">
        <v>5</v>
      </c>
      <c r="K102" s="159">
        <v>20</v>
      </c>
      <c r="L102" s="142">
        <v>4000</v>
      </c>
      <c r="M102" s="159">
        <v>2</v>
      </c>
      <c r="N102" s="159">
        <v>8</v>
      </c>
      <c r="O102" s="143">
        <v>1600</v>
      </c>
      <c r="P102" s="159">
        <v>30</v>
      </c>
      <c r="Q102" s="143">
        <v>62100</v>
      </c>
      <c r="R102" s="159">
        <v>10500</v>
      </c>
      <c r="S102" s="159">
        <v>30</v>
      </c>
      <c r="T102" s="159">
        <v>62100</v>
      </c>
      <c r="U102" s="159">
        <f t="shared" si="1"/>
        <v>49680</v>
      </c>
    </row>
    <row r="103" spans="1:21" x14ac:dyDescent="0.25">
      <c r="A103" s="159" t="s">
        <v>129</v>
      </c>
      <c r="B103" s="158" t="s">
        <v>566</v>
      </c>
      <c r="C103" s="159" t="s">
        <v>862</v>
      </c>
      <c r="D103" s="159">
        <v>360</v>
      </c>
      <c r="E103" s="142">
        <v>2088</v>
      </c>
      <c r="F103" s="159">
        <v>835200</v>
      </c>
      <c r="G103" s="159">
        <v>120</v>
      </c>
      <c r="H103" s="159">
        <v>480</v>
      </c>
      <c r="I103" s="159">
        <v>242400</v>
      </c>
      <c r="J103" s="159">
        <v>47</v>
      </c>
      <c r="K103" s="159">
        <v>470</v>
      </c>
      <c r="L103" s="142">
        <v>94000</v>
      </c>
      <c r="M103" s="159">
        <v>35</v>
      </c>
      <c r="N103" s="159">
        <v>350</v>
      </c>
      <c r="O103" s="143">
        <v>70000</v>
      </c>
      <c r="P103" s="159">
        <v>562</v>
      </c>
      <c r="Q103" s="143">
        <v>1369000</v>
      </c>
      <c r="R103" s="159">
        <v>127400</v>
      </c>
      <c r="S103" s="159">
        <v>562</v>
      </c>
      <c r="T103" s="159">
        <v>1369000</v>
      </c>
      <c r="U103" s="159">
        <f t="shared" si="1"/>
        <v>1095200</v>
      </c>
    </row>
    <row r="104" spans="1:21" x14ac:dyDescent="0.25">
      <c r="A104" s="159" t="s">
        <v>864</v>
      </c>
      <c r="B104" s="158" t="s">
        <v>1125</v>
      </c>
      <c r="C104" s="159" t="s">
        <v>863</v>
      </c>
      <c r="D104" s="159">
        <v>2</v>
      </c>
      <c r="E104" s="142">
        <v>12</v>
      </c>
      <c r="F104" s="159">
        <v>4800</v>
      </c>
      <c r="G104" s="159">
        <v>0</v>
      </c>
      <c r="H104" s="159">
        <v>0</v>
      </c>
      <c r="I104" s="159">
        <v>0</v>
      </c>
      <c r="J104" s="159">
        <v>1</v>
      </c>
      <c r="K104" s="159">
        <v>30</v>
      </c>
      <c r="L104" s="142">
        <v>6000</v>
      </c>
      <c r="M104" s="159">
        <v>0</v>
      </c>
      <c r="N104" s="159">
        <v>0</v>
      </c>
      <c r="O104" s="143">
        <v>0</v>
      </c>
      <c r="P104" s="159">
        <v>3</v>
      </c>
      <c r="Q104" s="143">
        <v>11850</v>
      </c>
      <c r="R104" s="159">
        <v>1050</v>
      </c>
      <c r="S104" s="159">
        <v>3</v>
      </c>
      <c r="T104" s="159">
        <v>11850</v>
      </c>
      <c r="U104" s="159">
        <f t="shared" si="1"/>
        <v>9480</v>
      </c>
    </row>
    <row r="105" spans="1:21" x14ac:dyDescent="0.25">
      <c r="A105" s="159" t="s">
        <v>130</v>
      </c>
      <c r="B105" s="158" t="s">
        <v>567</v>
      </c>
      <c r="C105" s="159" t="s">
        <v>865</v>
      </c>
      <c r="D105" s="159">
        <v>85</v>
      </c>
      <c r="E105" s="142">
        <v>465</v>
      </c>
      <c r="F105" s="159">
        <v>186000</v>
      </c>
      <c r="G105" s="159">
        <v>0</v>
      </c>
      <c r="H105" s="159">
        <v>0</v>
      </c>
      <c r="I105" s="159">
        <v>0</v>
      </c>
      <c r="J105" s="159">
        <v>17</v>
      </c>
      <c r="K105" s="159">
        <v>85</v>
      </c>
      <c r="L105" s="142">
        <v>17000</v>
      </c>
      <c r="M105" s="159">
        <v>35</v>
      </c>
      <c r="N105" s="159">
        <v>245</v>
      </c>
      <c r="O105" s="143">
        <v>49000</v>
      </c>
      <c r="P105" s="159">
        <v>137</v>
      </c>
      <c r="Q105" s="143">
        <v>294400</v>
      </c>
      <c r="R105" s="159">
        <v>42400</v>
      </c>
      <c r="S105" s="159">
        <v>137</v>
      </c>
      <c r="T105" s="159">
        <v>294400</v>
      </c>
      <c r="U105" s="159">
        <f t="shared" si="1"/>
        <v>235520</v>
      </c>
    </row>
    <row r="106" spans="1:21" x14ac:dyDescent="0.25">
      <c r="A106" s="159" t="s">
        <v>131</v>
      </c>
      <c r="B106" s="158" t="s">
        <v>568</v>
      </c>
      <c r="C106" s="159" t="s">
        <v>866</v>
      </c>
      <c r="D106" s="159">
        <v>135</v>
      </c>
      <c r="E106" s="142">
        <v>540</v>
      </c>
      <c r="F106" s="159">
        <v>216000</v>
      </c>
      <c r="G106" s="159">
        <v>33</v>
      </c>
      <c r="H106" s="159">
        <v>99</v>
      </c>
      <c r="I106" s="159">
        <v>49995</v>
      </c>
      <c r="J106" s="159">
        <v>14</v>
      </c>
      <c r="K106" s="159">
        <v>70</v>
      </c>
      <c r="L106" s="142">
        <v>14000</v>
      </c>
      <c r="M106" s="159">
        <v>15</v>
      </c>
      <c r="N106" s="159">
        <v>75</v>
      </c>
      <c r="O106" s="143">
        <v>15000</v>
      </c>
      <c r="P106" s="159">
        <v>197</v>
      </c>
      <c r="Q106" s="143">
        <v>349395</v>
      </c>
      <c r="R106" s="159">
        <v>54400</v>
      </c>
      <c r="S106" s="159">
        <v>197</v>
      </c>
      <c r="T106" s="159">
        <v>349395</v>
      </c>
      <c r="U106" s="159">
        <f t="shared" si="1"/>
        <v>279516</v>
      </c>
    </row>
    <row r="107" spans="1:21" x14ac:dyDescent="0.25">
      <c r="A107" s="159" t="s">
        <v>132</v>
      </c>
      <c r="B107" s="158" t="s">
        <v>457</v>
      </c>
      <c r="C107" s="159" t="s">
        <v>867</v>
      </c>
      <c r="D107" s="159">
        <v>29</v>
      </c>
      <c r="E107" s="142">
        <v>131</v>
      </c>
      <c r="F107" s="159">
        <v>52400</v>
      </c>
      <c r="G107" s="159">
        <v>10</v>
      </c>
      <c r="H107" s="159">
        <v>48</v>
      </c>
      <c r="I107" s="159">
        <v>24240</v>
      </c>
      <c r="J107" s="159">
        <v>10</v>
      </c>
      <c r="K107" s="159">
        <v>45</v>
      </c>
      <c r="L107" s="142">
        <v>9000</v>
      </c>
      <c r="M107" s="159">
        <v>2</v>
      </c>
      <c r="N107" s="159">
        <v>10</v>
      </c>
      <c r="O107" s="143">
        <v>2000</v>
      </c>
      <c r="P107" s="159">
        <v>51</v>
      </c>
      <c r="Q107" s="143">
        <v>105490</v>
      </c>
      <c r="R107" s="159">
        <v>17850</v>
      </c>
      <c r="S107" s="159">
        <v>51</v>
      </c>
      <c r="T107" s="159">
        <v>105490</v>
      </c>
      <c r="U107" s="159">
        <f t="shared" si="1"/>
        <v>84392</v>
      </c>
    </row>
    <row r="108" spans="1:21" x14ac:dyDescent="0.25">
      <c r="A108" s="159" t="s">
        <v>133</v>
      </c>
      <c r="B108" s="158" t="s">
        <v>569</v>
      </c>
      <c r="C108" s="159" t="s">
        <v>868</v>
      </c>
      <c r="D108" s="159">
        <v>560</v>
      </c>
      <c r="E108" s="142">
        <v>2837</v>
      </c>
      <c r="F108" s="159">
        <v>1134800</v>
      </c>
      <c r="G108" s="159">
        <v>0</v>
      </c>
      <c r="H108" s="159">
        <v>0</v>
      </c>
      <c r="I108" s="159">
        <v>0</v>
      </c>
      <c r="J108" s="159">
        <v>28</v>
      </c>
      <c r="K108" s="159">
        <v>224</v>
      </c>
      <c r="L108" s="142">
        <v>44800</v>
      </c>
      <c r="M108" s="159">
        <v>14</v>
      </c>
      <c r="N108" s="159">
        <v>84</v>
      </c>
      <c r="O108" s="143">
        <v>16800</v>
      </c>
      <c r="P108" s="159">
        <v>602</v>
      </c>
      <c r="Q108" s="143">
        <v>1331800</v>
      </c>
      <c r="R108" s="159">
        <v>135400</v>
      </c>
      <c r="S108" s="159">
        <v>602</v>
      </c>
      <c r="T108" s="159">
        <v>1331800</v>
      </c>
      <c r="U108" s="159">
        <f t="shared" si="1"/>
        <v>1065440</v>
      </c>
    </row>
    <row r="109" spans="1:21" x14ac:dyDescent="0.25">
      <c r="A109" s="159" t="s">
        <v>134</v>
      </c>
      <c r="B109" s="158" t="s">
        <v>458</v>
      </c>
      <c r="C109" s="159" t="s">
        <v>869</v>
      </c>
      <c r="D109" s="159">
        <v>5</v>
      </c>
      <c r="E109" s="142">
        <v>29</v>
      </c>
      <c r="F109" s="159">
        <v>11600</v>
      </c>
      <c r="G109" s="159">
        <v>1</v>
      </c>
      <c r="H109" s="159">
        <v>3</v>
      </c>
      <c r="I109" s="159">
        <v>1515</v>
      </c>
      <c r="J109" s="159">
        <v>6</v>
      </c>
      <c r="K109" s="159">
        <v>38</v>
      </c>
      <c r="L109" s="142">
        <v>7600</v>
      </c>
      <c r="M109" s="159">
        <v>1</v>
      </c>
      <c r="N109" s="159">
        <v>8</v>
      </c>
      <c r="O109" s="143">
        <v>1600</v>
      </c>
      <c r="P109" s="159">
        <v>13</v>
      </c>
      <c r="Q109" s="143">
        <v>26865</v>
      </c>
      <c r="R109" s="159">
        <v>4550</v>
      </c>
      <c r="S109" s="159">
        <v>13</v>
      </c>
      <c r="T109" s="159">
        <v>26865</v>
      </c>
      <c r="U109" s="159">
        <f t="shared" si="1"/>
        <v>21492</v>
      </c>
    </row>
    <row r="110" spans="1:21" x14ac:dyDescent="0.25">
      <c r="A110" s="159" t="s">
        <v>871</v>
      </c>
      <c r="B110" s="158" t="s">
        <v>1126</v>
      </c>
      <c r="C110" s="159" t="s">
        <v>870</v>
      </c>
      <c r="D110" s="159">
        <v>4</v>
      </c>
      <c r="E110" s="142">
        <v>16</v>
      </c>
      <c r="F110" s="159">
        <v>6400</v>
      </c>
      <c r="G110" s="159">
        <v>0</v>
      </c>
      <c r="H110" s="159">
        <v>0</v>
      </c>
      <c r="I110" s="159">
        <v>0</v>
      </c>
      <c r="J110" s="159">
        <v>2</v>
      </c>
      <c r="K110" s="159">
        <v>10</v>
      </c>
      <c r="L110" s="142">
        <v>2000</v>
      </c>
      <c r="M110" s="159">
        <v>0</v>
      </c>
      <c r="N110" s="159">
        <v>0</v>
      </c>
      <c r="O110" s="143">
        <v>0</v>
      </c>
      <c r="P110" s="159">
        <v>6</v>
      </c>
      <c r="Q110" s="143">
        <v>10500</v>
      </c>
      <c r="R110" s="159">
        <v>2100</v>
      </c>
      <c r="S110" s="159">
        <v>6</v>
      </c>
      <c r="T110" s="159">
        <v>10500</v>
      </c>
      <c r="U110" s="159">
        <f t="shared" si="1"/>
        <v>8400</v>
      </c>
    </row>
    <row r="111" spans="1:21" x14ac:dyDescent="0.25">
      <c r="A111" s="159" t="s">
        <v>135</v>
      </c>
      <c r="B111" s="158" t="s">
        <v>570</v>
      </c>
      <c r="C111" s="159" t="s">
        <v>872</v>
      </c>
      <c r="D111" s="159">
        <v>199</v>
      </c>
      <c r="E111" s="142">
        <v>1095</v>
      </c>
      <c r="F111" s="159">
        <v>438000</v>
      </c>
      <c r="G111" s="159">
        <v>10</v>
      </c>
      <c r="H111" s="159">
        <v>48</v>
      </c>
      <c r="I111" s="159">
        <v>24240</v>
      </c>
      <c r="J111" s="159">
        <v>30</v>
      </c>
      <c r="K111" s="159">
        <v>180</v>
      </c>
      <c r="L111" s="142">
        <v>36000</v>
      </c>
      <c r="M111" s="159">
        <v>35</v>
      </c>
      <c r="N111" s="159">
        <v>210</v>
      </c>
      <c r="O111" s="143">
        <v>42000</v>
      </c>
      <c r="P111" s="159">
        <v>274</v>
      </c>
      <c r="Q111" s="143">
        <v>610040</v>
      </c>
      <c r="R111" s="159">
        <v>69800</v>
      </c>
      <c r="S111" s="159">
        <v>274</v>
      </c>
      <c r="T111" s="159">
        <v>610040</v>
      </c>
      <c r="U111" s="159">
        <f t="shared" si="1"/>
        <v>488032</v>
      </c>
    </row>
    <row r="112" spans="1:21" x14ac:dyDescent="0.25">
      <c r="A112" s="159" t="s">
        <v>136</v>
      </c>
      <c r="B112" s="158" t="s">
        <v>571</v>
      </c>
      <c r="C112" s="159" t="s">
        <v>873</v>
      </c>
      <c r="D112" s="159">
        <v>5</v>
      </c>
      <c r="E112" s="142">
        <v>29</v>
      </c>
      <c r="F112" s="159">
        <v>11600</v>
      </c>
      <c r="G112" s="159">
        <v>0</v>
      </c>
      <c r="H112" s="159">
        <v>0</v>
      </c>
      <c r="I112" s="159">
        <v>0</v>
      </c>
      <c r="J112" s="159">
        <v>1</v>
      </c>
      <c r="K112" s="159">
        <v>5</v>
      </c>
      <c r="L112" s="142">
        <v>1000</v>
      </c>
      <c r="M112" s="159">
        <v>1</v>
      </c>
      <c r="N112" s="159">
        <v>5</v>
      </c>
      <c r="O112" s="143">
        <v>1000</v>
      </c>
      <c r="P112" s="159">
        <v>7</v>
      </c>
      <c r="Q112" s="143">
        <v>16050</v>
      </c>
      <c r="R112" s="159">
        <v>2450</v>
      </c>
      <c r="S112" s="159">
        <v>7</v>
      </c>
      <c r="T112" s="159">
        <v>16050</v>
      </c>
      <c r="U112" s="159">
        <f t="shared" si="1"/>
        <v>12840</v>
      </c>
    </row>
    <row r="113" spans="1:21" x14ac:dyDescent="0.25">
      <c r="A113" s="159" t="s">
        <v>137</v>
      </c>
      <c r="B113" s="158" t="s">
        <v>572</v>
      </c>
      <c r="C113" s="159" t="s">
        <v>874</v>
      </c>
      <c r="D113" s="159">
        <v>88</v>
      </c>
      <c r="E113" s="142">
        <v>352</v>
      </c>
      <c r="F113" s="159">
        <v>140800</v>
      </c>
      <c r="G113" s="159">
        <v>19</v>
      </c>
      <c r="H113" s="159">
        <v>57</v>
      </c>
      <c r="I113" s="159">
        <v>28785</v>
      </c>
      <c r="J113" s="159">
        <v>1</v>
      </c>
      <c r="K113" s="159">
        <v>5</v>
      </c>
      <c r="L113" s="142">
        <v>1000</v>
      </c>
      <c r="M113" s="159">
        <v>8</v>
      </c>
      <c r="N113" s="159">
        <v>40</v>
      </c>
      <c r="O113" s="143">
        <v>8000</v>
      </c>
      <c r="P113" s="159">
        <v>116</v>
      </c>
      <c r="Q113" s="143">
        <v>216785</v>
      </c>
      <c r="R113" s="159">
        <v>38200</v>
      </c>
      <c r="S113" s="159">
        <v>116</v>
      </c>
      <c r="T113" s="159">
        <v>216785</v>
      </c>
      <c r="U113" s="159">
        <f t="shared" si="1"/>
        <v>173428</v>
      </c>
    </row>
    <row r="114" spans="1:21" x14ac:dyDescent="0.25">
      <c r="A114" s="159" t="s">
        <v>138</v>
      </c>
      <c r="B114" s="158" t="s">
        <v>573</v>
      </c>
      <c r="C114" s="159" t="s">
        <v>875</v>
      </c>
      <c r="D114" s="159">
        <v>350</v>
      </c>
      <c r="E114" s="142">
        <v>1750</v>
      </c>
      <c r="F114" s="159">
        <v>700000</v>
      </c>
      <c r="G114" s="159">
        <v>45</v>
      </c>
      <c r="H114" s="159">
        <v>180</v>
      </c>
      <c r="I114" s="159">
        <v>90900</v>
      </c>
      <c r="J114" s="159">
        <v>15</v>
      </c>
      <c r="K114" s="159">
        <v>105</v>
      </c>
      <c r="L114" s="142">
        <v>21000</v>
      </c>
      <c r="M114" s="159">
        <v>45</v>
      </c>
      <c r="N114" s="159">
        <v>315</v>
      </c>
      <c r="O114" s="143">
        <v>63000</v>
      </c>
      <c r="P114" s="159">
        <v>455</v>
      </c>
      <c r="Q114" s="143">
        <v>980900</v>
      </c>
      <c r="R114" s="159">
        <v>106000</v>
      </c>
      <c r="S114" s="159">
        <v>455</v>
      </c>
      <c r="T114" s="159">
        <v>980900</v>
      </c>
      <c r="U114" s="159">
        <f t="shared" si="1"/>
        <v>784720</v>
      </c>
    </row>
    <row r="115" spans="1:21" x14ac:dyDescent="0.25">
      <c r="A115" s="159" t="s">
        <v>139</v>
      </c>
      <c r="B115" s="158" t="s">
        <v>574</v>
      </c>
      <c r="C115" s="159" t="s">
        <v>876</v>
      </c>
      <c r="D115" s="159">
        <v>48</v>
      </c>
      <c r="E115" s="142">
        <v>278</v>
      </c>
      <c r="F115" s="159">
        <v>111200</v>
      </c>
      <c r="G115" s="159">
        <v>11</v>
      </c>
      <c r="H115" s="159">
        <v>53</v>
      </c>
      <c r="I115" s="159">
        <v>26765</v>
      </c>
      <c r="J115" s="159">
        <v>12</v>
      </c>
      <c r="K115" s="159">
        <v>60</v>
      </c>
      <c r="L115" s="142">
        <v>12000</v>
      </c>
      <c r="M115" s="159">
        <v>3</v>
      </c>
      <c r="N115" s="159">
        <v>30</v>
      </c>
      <c r="O115" s="143">
        <v>6000</v>
      </c>
      <c r="P115" s="159">
        <v>74</v>
      </c>
      <c r="Q115" s="143">
        <v>181865</v>
      </c>
      <c r="R115" s="159">
        <v>25900</v>
      </c>
      <c r="S115" s="159">
        <v>74</v>
      </c>
      <c r="T115" s="159">
        <v>181865</v>
      </c>
      <c r="U115" s="159">
        <f t="shared" si="1"/>
        <v>145492</v>
      </c>
    </row>
    <row r="116" spans="1:21" x14ac:dyDescent="0.25">
      <c r="A116" s="159" t="s">
        <v>140</v>
      </c>
      <c r="B116" s="158" t="s">
        <v>575</v>
      </c>
      <c r="C116" s="159" t="s">
        <v>877</v>
      </c>
      <c r="D116" s="159">
        <v>710</v>
      </c>
      <c r="E116" s="142">
        <v>4118</v>
      </c>
      <c r="F116" s="159">
        <v>1647200</v>
      </c>
      <c r="G116" s="159">
        <v>19</v>
      </c>
      <c r="H116" s="159">
        <v>76</v>
      </c>
      <c r="I116" s="159">
        <v>38380</v>
      </c>
      <c r="J116" s="159">
        <v>23</v>
      </c>
      <c r="K116" s="159">
        <v>184</v>
      </c>
      <c r="L116" s="142">
        <v>36800</v>
      </c>
      <c r="M116" s="159">
        <v>28</v>
      </c>
      <c r="N116" s="159">
        <v>224</v>
      </c>
      <c r="O116" s="143">
        <v>44800</v>
      </c>
      <c r="P116" s="159">
        <v>780</v>
      </c>
      <c r="Q116" s="143">
        <v>1938180</v>
      </c>
      <c r="R116" s="159">
        <v>171000</v>
      </c>
      <c r="S116" s="159">
        <v>780</v>
      </c>
      <c r="T116" s="159">
        <v>1938180</v>
      </c>
      <c r="U116" s="159">
        <f t="shared" si="1"/>
        <v>1550544</v>
      </c>
    </row>
    <row r="117" spans="1:21" x14ac:dyDescent="0.25">
      <c r="A117" s="159" t="s">
        <v>141</v>
      </c>
      <c r="B117" s="158" t="s">
        <v>576</v>
      </c>
      <c r="C117" s="159" t="s">
        <v>878</v>
      </c>
      <c r="D117" s="159">
        <v>87</v>
      </c>
      <c r="E117" s="142">
        <v>435</v>
      </c>
      <c r="F117" s="159">
        <v>174000</v>
      </c>
      <c r="G117" s="159">
        <v>15</v>
      </c>
      <c r="H117" s="159">
        <v>60</v>
      </c>
      <c r="I117" s="159">
        <v>30300</v>
      </c>
      <c r="J117" s="159">
        <v>13</v>
      </c>
      <c r="K117" s="159">
        <v>78</v>
      </c>
      <c r="L117" s="142">
        <v>15600</v>
      </c>
      <c r="M117" s="159">
        <v>3</v>
      </c>
      <c r="N117" s="159">
        <v>18</v>
      </c>
      <c r="O117" s="143">
        <v>3600</v>
      </c>
      <c r="P117" s="159">
        <v>118</v>
      </c>
      <c r="Q117" s="143">
        <v>262100</v>
      </c>
      <c r="R117" s="159">
        <v>38600</v>
      </c>
      <c r="S117" s="159">
        <v>118</v>
      </c>
      <c r="T117" s="159">
        <v>262100</v>
      </c>
      <c r="U117" s="159">
        <f t="shared" si="1"/>
        <v>209680</v>
      </c>
    </row>
    <row r="118" spans="1:21" x14ac:dyDescent="0.25">
      <c r="A118" s="159" t="s">
        <v>142</v>
      </c>
      <c r="B118" s="158" t="s">
        <v>459</v>
      </c>
      <c r="C118" s="159" t="s">
        <v>879</v>
      </c>
      <c r="D118" s="159">
        <v>10</v>
      </c>
      <c r="E118" s="142">
        <v>45</v>
      </c>
      <c r="F118" s="159">
        <v>18000</v>
      </c>
      <c r="G118" s="159">
        <v>1</v>
      </c>
      <c r="H118" s="159">
        <v>3</v>
      </c>
      <c r="I118" s="159">
        <v>1515</v>
      </c>
      <c r="J118" s="159">
        <v>7</v>
      </c>
      <c r="K118" s="159">
        <v>28</v>
      </c>
      <c r="L118" s="142">
        <v>5600</v>
      </c>
      <c r="M118" s="159">
        <v>1</v>
      </c>
      <c r="N118" s="159">
        <v>4</v>
      </c>
      <c r="O118" s="143">
        <v>800</v>
      </c>
      <c r="P118" s="159">
        <v>19</v>
      </c>
      <c r="Q118" s="143">
        <v>32565</v>
      </c>
      <c r="R118" s="159">
        <v>6650</v>
      </c>
      <c r="S118" s="159">
        <v>19</v>
      </c>
      <c r="T118" s="159">
        <v>32565</v>
      </c>
      <c r="U118" s="159">
        <f t="shared" si="1"/>
        <v>26052</v>
      </c>
    </row>
    <row r="119" spans="1:21" x14ac:dyDescent="0.25">
      <c r="A119" s="159" t="s">
        <v>143</v>
      </c>
      <c r="B119" s="158" t="s">
        <v>577</v>
      </c>
      <c r="C119" s="159" t="s">
        <v>880</v>
      </c>
      <c r="D119" s="159">
        <v>15</v>
      </c>
      <c r="E119" s="142">
        <v>75</v>
      </c>
      <c r="F119" s="159">
        <v>30000</v>
      </c>
      <c r="G119" s="159">
        <v>0</v>
      </c>
      <c r="H119" s="159">
        <v>0</v>
      </c>
      <c r="I119" s="159">
        <v>0</v>
      </c>
      <c r="J119" s="159">
        <v>10</v>
      </c>
      <c r="K119" s="159">
        <v>60</v>
      </c>
      <c r="L119" s="142">
        <v>12000</v>
      </c>
      <c r="M119" s="159">
        <v>5</v>
      </c>
      <c r="N119" s="159">
        <v>25</v>
      </c>
      <c r="O119" s="143">
        <v>5000</v>
      </c>
      <c r="P119" s="159">
        <v>30</v>
      </c>
      <c r="Q119" s="143">
        <v>57500</v>
      </c>
      <c r="R119" s="159">
        <v>10500</v>
      </c>
      <c r="S119" s="159">
        <v>30</v>
      </c>
      <c r="T119" s="159">
        <v>57500</v>
      </c>
      <c r="U119" s="159">
        <f t="shared" si="1"/>
        <v>46000</v>
      </c>
    </row>
    <row r="120" spans="1:21" x14ac:dyDescent="0.25">
      <c r="A120" s="159" t="s">
        <v>144</v>
      </c>
      <c r="B120" s="158" t="s">
        <v>460</v>
      </c>
      <c r="C120" s="159" t="s">
        <v>881</v>
      </c>
      <c r="D120" s="159">
        <v>24</v>
      </c>
      <c r="E120" s="142">
        <v>108</v>
      </c>
      <c r="F120" s="159">
        <v>43200</v>
      </c>
      <c r="G120" s="159">
        <v>0</v>
      </c>
      <c r="H120" s="159">
        <v>0</v>
      </c>
      <c r="I120" s="159">
        <v>0</v>
      </c>
      <c r="J120" s="159">
        <v>14</v>
      </c>
      <c r="K120" s="159">
        <v>56</v>
      </c>
      <c r="L120" s="142">
        <v>11200</v>
      </c>
      <c r="M120" s="159">
        <v>6</v>
      </c>
      <c r="N120" s="159">
        <v>30</v>
      </c>
      <c r="O120" s="143">
        <v>6000</v>
      </c>
      <c r="P120" s="159">
        <v>44</v>
      </c>
      <c r="Q120" s="143">
        <v>75800</v>
      </c>
      <c r="R120" s="159">
        <v>15400</v>
      </c>
      <c r="S120" s="159">
        <v>44</v>
      </c>
      <c r="T120" s="159">
        <v>75800</v>
      </c>
      <c r="U120" s="159">
        <f t="shared" si="1"/>
        <v>60640</v>
      </c>
    </row>
    <row r="121" spans="1:21" x14ac:dyDescent="0.25">
      <c r="A121" s="159" t="s">
        <v>145</v>
      </c>
      <c r="B121" s="158" t="s">
        <v>578</v>
      </c>
      <c r="C121" s="159" t="s">
        <v>882</v>
      </c>
      <c r="D121" s="159">
        <v>45</v>
      </c>
      <c r="E121" s="142">
        <v>225</v>
      </c>
      <c r="F121" s="159">
        <v>90000</v>
      </c>
      <c r="G121" s="159">
        <v>62</v>
      </c>
      <c r="H121" s="159">
        <v>279</v>
      </c>
      <c r="I121" s="159">
        <v>140895</v>
      </c>
      <c r="J121" s="159">
        <v>6</v>
      </c>
      <c r="K121" s="159">
        <v>24</v>
      </c>
      <c r="L121" s="142">
        <v>4800</v>
      </c>
      <c r="M121" s="159">
        <v>4</v>
      </c>
      <c r="N121" s="159">
        <v>20</v>
      </c>
      <c r="O121" s="143">
        <v>4000</v>
      </c>
      <c r="P121" s="159">
        <v>117</v>
      </c>
      <c r="Q121" s="143">
        <v>278095</v>
      </c>
      <c r="R121" s="159">
        <v>38400</v>
      </c>
      <c r="S121" s="159">
        <v>117</v>
      </c>
      <c r="T121" s="159">
        <v>278095</v>
      </c>
      <c r="U121" s="159">
        <f t="shared" si="1"/>
        <v>222476</v>
      </c>
    </row>
    <row r="122" spans="1:21" x14ac:dyDescent="0.25">
      <c r="A122" s="159" t="s">
        <v>382</v>
      </c>
      <c r="B122" s="158" t="s">
        <v>579</v>
      </c>
      <c r="C122" s="159" t="s">
        <v>883</v>
      </c>
      <c r="D122" s="159">
        <v>62</v>
      </c>
      <c r="E122" s="142">
        <v>310</v>
      </c>
      <c r="F122" s="159">
        <v>124000</v>
      </c>
      <c r="G122" s="159">
        <v>27</v>
      </c>
      <c r="H122" s="159">
        <v>130</v>
      </c>
      <c r="I122" s="159">
        <v>65650</v>
      </c>
      <c r="J122" s="159">
        <v>4</v>
      </c>
      <c r="K122" s="159">
        <v>24</v>
      </c>
      <c r="L122" s="142">
        <v>4800</v>
      </c>
      <c r="M122" s="159">
        <v>12</v>
      </c>
      <c r="N122" s="159">
        <v>72</v>
      </c>
      <c r="O122" s="143">
        <v>14400</v>
      </c>
      <c r="P122" s="159">
        <v>105</v>
      </c>
      <c r="Q122" s="143">
        <v>244850</v>
      </c>
      <c r="R122" s="159">
        <v>36000</v>
      </c>
      <c r="S122" s="159">
        <v>105</v>
      </c>
      <c r="T122" s="159">
        <v>244850</v>
      </c>
      <c r="U122" s="159">
        <f t="shared" si="1"/>
        <v>195880</v>
      </c>
    </row>
    <row r="123" spans="1:21" x14ac:dyDescent="0.25">
      <c r="A123" s="159" t="s">
        <v>146</v>
      </c>
      <c r="B123" s="158" t="s">
        <v>580</v>
      </c>
      <c r="C123" s="159" t="s">
        <v>884</v>
      </c>
      <c r="D123" s="159">
        <v>115</v>
      </c>
      <c r="E123" s="142">
        <v>460</v>
      </c>
      <c r="F123" s="159">
        <v>184000</v>
      </c>
      <c r="G123" s="159">
        <v>0</v>
      </c>
      <c r="H123" s="159">
        <v>0</v>
      </c>
      <c r="I123" s="159">
        <v>0</v>
      </c>
      <c r="J123" s="159">
        <v>16</v>
      </c>
      <c r="K123" s="159">
        <v>80</v>
      </c>
      <c r="L123" s="142">
        <v>16000</v>
      </c>
      <c r="M123" s="159">
        <v>9</v>
      </c>
      <c r="N123" s="159">
        <v>45</v>
      </c>
      <c r="O123" s="143">
        <v>9000</v>
      </c>
      <c r="P123" s="159">
        <v>140</v>
      </c>
      <c r="Q123" s="143">
        <v>252000</v>
      </c>
      <c r="R123" s="159">
        <v>43000</v>
      </c>
      <c r="S123" s="159">
        <v>140</v>
      </c>
      <c r="T123" s="159">
        <v>252000</v>
      </c>
      <c r="U123" s="159">
        <f t="shared" si="1"/>
        <v>201600</v>
      </c>
    </row>
    <row r="124" spans="1:21" x14ac:dyDescent="0.25">
      <c r="A124" s="159" t="s">
        <v>147</v>
      </c>
      <c r="B124" s="158" t="s">
        <v>580</v>
      </c>
      <c r="C124" s="159" t="s">
        <v>885</v>
      </c>
      <c r="D124" s="159">
        <v>0</v>
      </c>
      <c r="E124" s="142">
        <v>0</v>
      </c>
      <c r="F124" s="159">
        <v>0</v>
      </c>
      <c r="G124" s="159">
        <v>187</v>
      </c>
      <c r="H124" s="159">
        <v>786</v>
      </c>
      <c r="I124" s="159">
        <v>396930</v>
      </c>
      <c r="J124" s="159">
        <v>8</v>
      </c>
      <c r="K124" s="159">
        <v>28</v>
      </c>
      <c r="L124" s="142">
        <v>5600</v>
      </c>
      <c r="M124" s="159">
        <v>2</v>
      </c>
      <c r="N124" s="159">
        <v>4</v>
      </c>
      <c r="O124" s="143">
        <v>800</v>
      </c>
      <c r="P124" s="159">
        <v>197</v>
      </c>
      <c r="Q124" s="143">
        <v>457730</v>
      </c>
      <c r="R124" s="159">
        <v>54400</v>
      </c>
      <c r="S124" s="159">
        <v>197</v>
      </c>
      <c r="T124" s="159">
        <v>457730</v>
      </c>
      <c r="U124" s="159">
        <f t="shared" si="1"/>
        <v>366184</v>
      </c>
    </row>
    <row r="125" spans="1:21" x14ac:dyDescent="0.25">
      <c r="A125" s="159" t="s">
        <v>148</v>
      </c>
      <c r="B125" s="158" t="s">
        <v>581</v>
      </c>
      <c r="C125" s="159" t="s">
        <v>886</v>
      </c>
      <c r="D125" s="159">
        <v>88</v>
      </c>
      <c r="E125" s="142">
        <v>396</v>
      </c>
      <c r="F125" s="159">
        <v>158400</v>
      </c>
      <c r="G125" s="159">
        <v>0</v>
      </c>
      <c r="H125" s="159">
        <v>0</v>
      </c>
      <c r="I125" s="159">
        <v>0</v>
      </c>
      <c r="J125" s="159">
        <v>7</v>
      </c>
      <c r="K125" s="159">
        <v>35</v>
      </c>
      <c r="L125" s="142">
        <v>7000</v>
      </c>
      <c r="M125" s="159">
        <v>8</v>
      </c>
      <c r="N125" s="159">
        <v>40</v>
      </c>
      <c r="O125" s="143">
        <v>8000</v>
      </c>
      <c r="P125" s="159">
        <v>103</v>
      </c>
      <c r="Q125" s="143">
        <v>209000</v>
      </c>
      <c r="R125" s="159">
        <v>35600</v>
      </c>
      <c r="S125" s="159">
        <v>103</v>
      </c>
      <c r="T125" s="159">
        <v>209000</v>
      </c>
      <c r="U125" s="159">
        <f t="shared" si="1"/>
        <v>167200</v>
      </c>
    </row>
    <row r="126" spans="1:21" x14ac:dyDescent="0.25">
      <c r="A126" s="159" t="s">
        <v>149</v>
      </c>
      <c r="B126" s="158" t="s">
        <v>582</v>
      </c>
      <c r="C126" s="159" t="s">
        <v>887</v>
      </c>
      <c r="D126" s="159">
        <v>30</v>
      </c>
      <c r="E126" s="142">
        <v>120</v>
      </c>
      <c r="F126" s="159">
        <v>48000</v>
      </c>
      <c r="G126" s="159">
        <v>5</v>
      </c>
      <c r="H126" s="159">
        <v>10</v>
      </c>
      <c r="I126" s="159">
        <v>5050</v>
      </c>
      <c r="J126" s="159">
        <v>1</v>
      </c>
      <c r="K126" s="159">
        <v>5</v>
      </c>
      <c r="L126" s="142">
        <v>1000</v>
      </c>
      <c r="M126" s="159">
        <v>1</v>
      </c>
      <c r="N126" s="159">
        <v>5</v>
      </c>
      <c r="O126" s="143">
        <v>1000</v>
      </c>
      <c r="P126" s="159">
        <v>37</v>
      </c>
      <c r="Q126" s="143">
        <v>68000</v>
      </c>
      <c r="R126" s="159">
        <v>12950</v>
      </c>
      <c r="S126" s="159">
        <v>37</v>
      </c>
      <c r="T126" s="159">
        <v>68000</v>
      </c>
      <c r="U126" s="159">
        <f t="shared" si="1"/>
        <v>54400</v>
      </c>
    </row>
    <row r="127" spans="1:21" x14ac:dyDescent="0.25">
      <c r="A127" s="159" t="s">
        <v>150</v>
      </c>
      <c r="B127" s="158" t="s">
        <v>583</v>
      </c>
      <c r="C127" s="159" t="s">
        <v>888</v>
      </c>
      <c r="D127" s="159">
        <v>36</v>
      </c>
      <c r="E127" s="142">
        <v>168</v>
      </c>
      <c r="F127" s="159">
        <v>67200</v>
      </c>
      <c r="G127" s="159">
        <v>22</v>
      </c>
      <c r="H127" s="159">
        <v>106</v>
      </c>
      <c r="I127" s="159">
        <v>53530</v>
      </c>
      <c r="J127" s="159">
        <v>6</v>
      </c>
      <c r="K127" s="159">
        <v>30</v>
      </c>
      <c r="L127" s="142">
        <v>6000</v>
      </c>
      <c r="M127" s="159">
        <v>14</v>
      </c>
      <c r="N127" s="159">
        <v>93</v>
      </c>
      <c r="O127" s="143">
        <v>18600</v>
      </c>
      <c r="P127" s="159">
        <v>78</v>
      </c>
      <c r="Q127" s="143">
        <v>172630</v>
      </c>
      <c r="R127" s="159">
        <v>27300</v>
      </c>
      <c r="S127" s="159">
        <v>78</v>
      </c>
      <c r="T127" s="159">
        <v>172630</v>
      </c>
      <c r="U127" s="159">
        <f t="shared" si="1"/>
        <v>138104</v>
      </c>
    </row>
    <row r="128" spans="1:21" x14ac:dyDescent="0.25">
      <c r="A128" s="159" t="s">
        <v>151</v>
      </c>
      <c r="B128" s="158" t="s">
        <v>584</v>
      </c>
      <c r="C128" s="159" t="s">
        <v>889</v>
      </c>
      <c r="D128" s="159">
        <v>3</v>
      </c>
      <c r="E128" s="142">
        <v>17</v>
      </c>
      <c r="F128" s="159">
        <v>6800</v>
      </c>
      <c r="G128" s="159">
        <v>2</v>
      </c>
      <c r="H128" s="159">
        <v>10</v>
      </c>
      <c r="I128" s="159">
        <v>5050</v>
      </c>
      <c r="J128" s="159">
        <v>4</v>
      </c>
      <c r="K128" s="159">
        <v>39</v>
      </c>
      <c r="L128" s="142">
        <v>7800</v>
      </c>
      <c r="M128" s="159">
        <v>4</v>
      </c>
      <c r="N128" s="159">
        <v>39</v>
      </c>
      <c r="O128" s="143">
        <v>7800</v>
      </c>
      <c r="P128" s="159">
        <v>13</v>
      </c>
      <c r="Q128" s="143">
        <v>32000</v>
      </c>
      <c r="R128" s="159">
        <v>4550</v>
      </c>
      <c r="S128" s="159">
        <v>13</v>
      </c>
      <c r="T128" s="159">
        <v>32000</v>
      </c>
      <c r="U128" s="159">
        <f t="shared" si="1"/>
        <v>25600</v>
      </c>
    </row>
    <row r="129" spans="1:21" x14ac:dyDescent="0.25">
      <c r="A129" s="159" t="s">
        <v>152</v>
      </c>
      <c r="B129" s="158" t="s">
        <v>585</v>
      </c>
      <c r="C129" s="159" t="s">
        <v>890</v>
      </c>
      <c r="D129" s="159">
        <v>350</v>
      </c>
      <c r="E129" s="142">
        <v>1500</v>
      </c>
      <c r="F129" s="159">
        <v>600000</v>
      </c>
      <c r="G129" s="159">
        <v>40</v>
      </c>
      <c r="H129" s="159">
        <v>160</v>
      </c>
      <c r="I129" s="159">
        <v>80800</v>
      </c>
      <c r="J129" s="159">
        <v>25</v>
      </c>
      <c r="K129" s="159">
        <v>150</v>
      </c>
      <c r="L129" s="142">
        <v>30000</v>
      </c>
      <c r="M129" s="159">
        <v>28</v>
      </c>
      <c r="N129" s="159">
        <v>168</v>
      </c>
      <c r="O129" s="143">
        <v>33600</v>
      </c>
      <c r="P129" s="159">
        <v>443</v>
      </c>
      <c r="Q129" s="143">
        <v>848000</v>
      </c>
      <c r="R129" s="159">
        <v>103600</v>
      </c>
      <c r="S129" s="159">
        <v>443</v>
      </c>
      <c r="T129" s="159">
        <v>848000</v>
      </c>
      <c r="U129" s="159">
        <f t="shared" si="1"/>
        <v>678400</v>
      </c>
    </row>
    <row r="130" spans="1:21" x14ac:dyDescent="0.25">
      <c r="A130" s="159" t="s">
        <v>153</v>
      </c>
      <c r="B130" s="158" t="s">
        <v>586</v>
      </c>
      <c r="C130" s="159" t="s">
        <v>891</v>
      </c>
      <c r="D130" s="159">
        <v>150</v>
      </c>
      <c r="E130" s="142">
        <v>750</v>
      </c>
      <c r="F130" s="159">
        <v>300000</v>
      </c>
      <c r="G130" s="159">
        <v>0</v>
      </c>
      <c r="H130" s="159">
        <v>0</v>
      </c>
      <c r="I130" s="159">
        <v>0</v>
      </c>
      <c r="J130" s="159">
        <v>20</v>
      </c>
      <c r="K130" s="159">
        <v>120</v>
      </c>
      <c r="L130" s="142">
        <v>24000</v>
      </c>
      <c r="M130" s="159">
        <v>10</v>
      </c>
      <c r="N130" s="159">
        <v>50</v>
      </c>
      <c r="O130" s="143">
        <v>10000</v>
      </c>
      <c r="P130" s="159">
        <v>180</v>
      </c>
      <c r="Q130" s="143">
        <v>385000</v>
      </c>
      <c r="R130" s="159">
        <v>51000</v>
      </c>
      <c r="S130" s="159">
        <v>180</v>
      </c>
      <c r="T130" s="159">
        <v>385000</v>
      </c>
      <c r="U130" s="159">
        <f t="shared" si="1"/>
        <v>308000</v>
      </c>
    </row>
    <row r="131" spans="1:21" x14ac:dyDescent="0.25">
      <c r="A131" s="159" t="s">
        <v>587</v>
      </c>
      <c r="B131" s="158" t="s">
        <v>588</v>
      </c>
      <c r="C131" s="159" t="s">
        <v>892</v>
      </c>
      <c r="D131" s="159">
        <v>1</v>
      </c>
      <c r="E131" s="142">
        <v>3</v>
      </c>
      <c r="F131" s="159">
        <v>1200</v>
      </c>
      <c r="G131" s="159">
        <v>0</v>
      </c>
      <c r="H131" s="159">
        <v>0</v>
      </c>
      <c r="I131" s="159">
        <v>0</v>
      </c>
      <c r="J131" s="159">
        <v>1</v>
      </c>
      <c r="K131" s="159">
        <v>31</v>
      </c>
      <c r="L131" s="142">
        <v>6200</v>
      </c>
      <c r="M131" s="159">
        <v>2</v>
      </c>
      <c r="N131" s="159">
        <v>14</v>
      </c>
      <c r="O131" s="143">
        <v>2800</v>
      </c>
      <c r="P131" s="159">
        <v>4</v>
      </c>
      <c r="Q131" s="143">
        <v>11600</v>
      </c>
      <c r="R131" s="159">
        <v>1400</v>
      </c>
      <c r="S131" s="159">
        <v>4</v>
      </c>
      <c r="T131" s="159">
        <v>11600</v>
      </c>
      <c r="U131" s="159">
        <f t="shared" si="1"/>
        <v>9280</v>
      </c>
    </row>
    <row r="132" spans="1:21" x14ac:dyDescent="0.25">
      <c r="A132" s="159" t="s">
        <v>154</v>
      </c>
      <c r="B132" s="158" t="s">
        <v>589</v>
      </c>
      <c r="C132" s="159" t="s">
        <v>893</v>
      </c>
      <c r="D132" s="159">
        <v>628</v>
      </c>
      <c r="E132" s="142">
        <v>3140</v>
      </c>
      <c r="F132" s="159">
        <v>1256000</v>
      </c>
      <c r="G132" s="159">
        <v>9</v>
      </c>
      <c r="H132" s="159">
        <v>41</v>
      </c>
      <c r="I132" s="159">
        <v>20705</v>
      </c>
      <c r="J132" s="159">
        <v>39</v>
      </c>
      <c r="K132" s="159">
        <v>195</v>
      </c>
      <c r="L132" s="142">
        <v>39000</v>
      </c>
      <c r="M132" s="159">
        <v>38</v>
      </c>
      <c r="N132" s="159">
        <v>190</v>
      </c>
      <c r="O132" s="143">
        <v>38000</v>
      </c>
      <c r="P132" s="159">
        <v>714</v>
      </c>
      <c r="Q132" s="143">
        <v>1511505</v>
      </c>
      <c r="R132" s="159">
        <v>157800</v>
      </c>
      <c r="S132" s="159">
        <v>714</v>
      </c>
      <c r="T132" s="159">
        <v>1511505</v>
      </c>
      <c r="U132" s="159">
        <f t="shared" ref="U132:U195" si="2">T132*0.8</f>
        <v>1209204</v>
      </c>
    </row>
    <row r="133" spans="1:21" x14ac:dyDescent="0.25">
      <c r="A133" s="159" t="s">
        <v>383</v>
      </c>
      <c r="B133" s="158" t="s">
        <v>590</v>
      </c>
      <c r="C133" s="159" t="s">
        <v>894</v>
      </c>
      <c r="D133" s="159">
        <v>13</v>
      </c>
      <c r="E133" s="142">
        <v>52</v>
      </c>
      <c r="F133" s="159">
        <v>20800</v>
      </c>
      <c r="G133" s="159">
        <v>5</v>
      </c>
      <c r="H133" s="159">
        <v>24</v>
      </c>
      <c r="I133" s="159">
        <v>12120</v>
      </c>
      <c r="J133" s="159">
        <v>3</v>
      </c>
      <c r="K133" s="159">
        <v>15</v>
      </c>
      <c r="L133" s="142">
        <v>3000</v>
      </c>
      <c r="M133" s="159">
        <v>3</v>
      </c>
      <c r="N133" s="159">
        <v>15</v>
      </c>
      <c r="O133" s="143">
        <v>3000</v>
      </c>
      <c r="P133" s="159">
        <v>24</v>
      </c>
      <c r="Q133" s="143">
        <v>47320</v>
      </c>
      <c r="R133" s="159">
        <v>8400</v>
      </c>
      <c r="S133" s="159">
        <v>24</v>
      </c>
      <c r="T133" s="159">
        <v>47320</v>
      </c>
      <c r="U133" s="159">
        <f t="shared" si="2"/>
        <v>37856</v>
      </c>
    </row>
    <row r="134" spans="1:21" x14ac:dyDescent="0.25">
      <c r="A134" s="159" t="s">
        <v>155</v>
      </c>
      <c r="B134" s="158" t="s">
        <v>1127</v>
      </c>
      <c r="C134" s="159" t="s">
        <v>895</v>
      </c>
      <c r="D134" s="159">
        <v>80</v>
      </c>
      <c r="E134" s="142">
        <v>380</v>
      </c>
      <c r="F134" s="159">
        <v>152000</v>
      </c>
      <c r="G134" s="159">
        <v>30</v>
      </c>
      <c r="H134" s="159">
        <v>144</v>
      </c>
      <c r="I134" s="159">
        <v>72720</v>
      </c>
      <c r="J134" s="159">
        <v>22</v>
      </c>
      <c r="K134" s="159">
        <v>88</v>
      </c>
      <c r="L134" s="142">
        <v>17600</v>
      </c>
      <c r="M134" s="159">
        <v>12</v>
      </c>
      <c r="N134" s="159">
        <v>60</v>
      </c>
      <c r="O134" s="143">
        <v>12000</v>
      </c>
      <c r="P134" s="159">
        <v>144</v>
      </c>
      <c r="Q134" s="143">
        <v>298120</v>
      </c>
      <c r="R134" s="159">
        <v>43800</v>
      </c>
      <c r="S134" s="159">
        <v>144</v>
      </c>
      <c r="T134" s="159">
        <v>298120</v>
      </c>
      <c r="U134" s="159">
        <f t="shared" si="2"/>
        <v>238496</v>
      </c>
    </row>
    <row r="135" spans="1:21" x14ac:dyDescent="0.25">
      <c r="A135" s="159" t="s">
        <v>156</v>
      </c>
      <c r="B135" s="158" t="s">
        <v>591</v>
      </c>
      <c r="C135" s="159" t="s">
        <v>896</v>
      </c>
      <c r="D135" s="159">
        <v>3</v>
      </c>
      <c r="E135" s="142">
        <v>12</v>
      </c>
      <c r="F135" s="159">
        <v>4800</v>
      </c>
      <c r="G135" s="159">
        <v>5</v>
      </c>
      <c r="H135" s="159">
        <v>24</v>
      </c>
      <c r="I135" s="159">
        <v>12120</v>
      </c>
      <c r="J135" s="159">
        <v>1</v>
      </c>
      <c r="K135" s="159">
        <v>7</v>
      </c>
      <c r="L135" s="142">
        <v>1400</v>
      </c>
      <c r="M135" s="159">
        <v>11</v>
      </c>
      <c r="N135" s="159">
        <v>77</v>
      </c>
      <c r="O135" s="143">
        <v>15400</v>
      </c>
      <c r="P135" s="159">
        <v>20</v>
      </c>
      <c r="Q135" s="143">
        <v>40720</v>
      </c>
      <c r="R135" s="159">
        <v>7000</v>
      </c>
      <c r="S135" s="159">
        <v>20</v>
      </c>
      <c r="T135" s="159">
        <v>40720</v>
      </c>
      <c r="U135" s="159">
        <f t="shared" si="2"/>
        <v>32576</v>
      </c>
    </row>
    <row r="136" spans="1:21" x14ac:dyDescent="0.25">
      <c r="A136" s="159" t="s">
        <v>157</v>
      </c>
      <c r="B136" s="158" t="s">
        <v>592</v>
      </c>
      <c r="C136" s="159" t="s">
        <v>897</v>
      </c>
      <c r="D136" s="159">
        <v>137</v>
      </c>
      <c r="E136" s="142">
        <v>795</v>
      </c>
      <c r="F136" s="159">
        <v>318000</v>
      </c>
      <c r="G136" s="159">
        <v>0</v>
      </c>
      <c r="H136" s="159">
        <v>0</v>
      </c>
      <c r="I136" s="159">
        <v>0</v>
      </c>
      <c r="J136" s="159">
        <v>22</v>
      </c>
      <c r="K136" s="159">
        <v>110</v>
      </c>
      <c r="L136" s="142">
        <v>22000</v>
      </c>
      <c r="M136" s="159">
        <v>12</v>
      </c>
      <c r="N136" s="159">
        <v>60</v>
      </c>
      <c r="O136" s="143">
        <v>12000</v>
      </c>
      <c r="P136" s="159">
        <v>171</v>
      </c>
      <c r="Q136" s="143">
        <v>401200</v>
      </c>
      <c r="R136" s="159">
        <v>49200</v>
      </c>
      <c r="S136" s="159">
        <v>171</v>
      </c>
      <c r="T136" s="159">
        <v>401200</v>
      </c>
      <c r="U136" s="159">
        <f t="shared" si="2"/>
        <v>320960</v>
      </c>
    </row>
    <row r="137" spans="1:21" x14ac:dyDescent="0.25">
      <c r="A137" s="159" t="s">
        <v>158</v>
      </c>
      <c r="B137" s="158" t="s">
        <v>593</v>
      </c>
      <c r="C137" s="159" t="s">
        <v>898</v>
      </c>
      <c r="D137" s="159">
        <v>35</v>
      </c>
      <c r="E137" s="142">
        <v>175</v>
      </c>
      <c r="F137" s="159">
        <v>70000</v>
      </c>
      <c r="G137" s="159">
        <v>0</v>
      </c>
      <c r="H137" s="159">
        <v>0</v>
      </c>
      <c r="I137" s="159">
        <v>0</v>
      </c>
      <c r="J137" s="159">
        <v>3</v>
      </c>
      <c r="K137" s="159">
        <v>30</v>
      </c>
      <c r="L137" s="142">
        <v>6000</v>
      </c>
      <c r="M137" s="159">
        <v>3</v>
      </c>
      <c r="N137" s="159">
        <v>30</v>
      </c>
      <c r="O137" s="143">
        <v>6000</v>
      </c>
      <c r="P137" s="159">
        <v>41</v>
      </c>
      <c r="Q137" s="143">
        <v>96350</v>
      </c>
      <c r="R137" s="159">
        <v>14350</v>
      </c>
      <c r="S137" s="159">
        <v>41</v>
      </c>
      <c r="T137" s="159">
        <v>96350</v>
      </c>
      <c r="U137" s="159">
        <f t="shared" si="2"/>
        <v>77080</v>
      </c>
    </row>
    <row r="138" spans="1:21" x14ac:dyDescent="0.25">
      <c r="A138" s="159" t="s">
        <v>159</v>
      </c>
      <c r="B138" s="158" t="s">
        <v>594</v>
      </c>
      <c r="C138" s="159" t="s">
        <v>899</v>
      </c>
      <c r="D138" s="159">
        <v>540</v>
      </c>
      <c r="E138" s="142">
        <v>2700</v>
      </c>
      <c r="F138" s="159">
        <v>1080000</v>
      </c>
      <c r="G138" s="159">
        <v>74</v>
      </c>
      <c r="H138" s="159">
        <v>296</v>
      </c>
      <c r="I138" s="159">
        <v>149480</v>
      </c>
      <c r="J138" s="159">
        <v>30</v>
      </c>
      <c r="K138" s="159">
        <v>150</v>
      </c>
      <c r="L138" s="142">
        <v>30000</v>
      </c>
      <c r="M138" s="159">
        <v>63</v>
      </c>
      <c r="N138" s="159">
        <v>504</v>
      </c>
      <c r="O138" s="143">
        <v>100800</v>
      </c>
      <c r="P138" s="159">
        <v>707</v>
      </c>
      <c r="Q138" s="143">
        <v>1516680</v>
      </c>
      <c r="R138" s="159">
        <v>156400</v>
      </c>
      <c r="S138" s="159">
        <v>707</v>
      </c>
      <c r="T138" s="159">
        <v>1516680</v>
      </c>
      <c r="U138" s="159">
        <f t="shared" si="2"/>
        <v>1213344</v>
      </c>
    </row>
    <row r="139" spans="1:21" x14ac:dyDescent="0.25">
      <c r="A139" s="159" t="s">
        <v>160</v>
      </c>
      <c r="B139" s="158" t="s">
        <v>595</v>
      </c>
      <c r="C139" s="159" t="s">
        <v>900</v>
      </c>
      <c r="D139" s="159">
        <v>103</v>
      </c>
      <c r="E139" s="142">
        <v>567</v>
      </c>
      <c r="F139" s="159">
        <v>226800</v>
      </c>
      <c r="G139" s="159">
        <v>8</v>
      </c>
      <c r="H139" s="159">
        <v>38</v>
      </c>
      <c r="I139" s="159">
        <v>19190</v>
      </c>
      <c r="J139" s="159">
        <v>0</v>
      </c>
      <c r="K139" s="159">
        <v>0</v>
      </c>
      <c r="L139" s="142">
        <v>0</v>
      </c>
      <c r="M139" s="159">
        <v>0</v>
      </c>
      <c r="N139" s="159">
        <v>0</v>
      </c>
      <c r="O139" s="143">
        <v>0</v>
      </c>
      <c r="P139" s="159">
        <v>111</v>
      </c>
      <c r="Q139" s="143">
        <v>283190</v>
      </c>
      <c r="R139" s="159">
        <v>37200</v>
      </c>
      <c r="S139" s="159">
        <v>111</v>
      </c>
      <c r="T139" s="159">
        <v>283190</v>
      </c>
      <c r="U139" s="159">
        <f t="shared" si="2"/>
        <v>226552</v>
      </c>
    </row>
    <row r="140" spans="1:21" x14ac:dyDescent="0.25">
      <c r="A140" s="159" t="s">
        <v>161</v>
      </c>
      <c r="B140" s="158" t="s">
        <v>461</v>
      </c>
      <c r="C140" s="159" t="s">
        <v>901</v>
      </c>
      <c r="D140" s="159">
        <v>31</v>
      </c>
      <c r="E140" s="142">
        <v>180</v>
      </c>
      <c r="F140" s="159">
        <v>72000</v>
      </c>
      <c r="G140" s="159">
        <v>12</v>
      </c>
      <c r="H140" s="159">
        <v>58</v>
      </c>
      <c r="I140" s="159">
        <v>29290</v>
      </c>
      <c r="J140" s="159">
        <v>2</v>
      </c>
      <c r="K140" s="159">
        <v>10</v>
      </c>
      <c r="L140" s="142">
        <v>2000</v>
      </c>
      <c r="M140" s="159">
        <v>2</v>
      </c>
      <c r="N140" s="159">
        <v>10</v>
      </c>
      <c r="O140" s="143">
        <v>2000</v>
      </c>
      <c r="P140" s="159">
        <v>47</v>
      </c>
      <c r="Q140" s="143">
        <v>121740</v>
      </c>
      <c r="R140" s="159">
        <v>16450</v>
      </c>
      <c r="S140" s="159">
        <v>47</v>
      </c>
      <c r="T140" s="159">
        <v>121740</v>
      </c>
      <c r="U140" s="159">
        <f t="shared" si="2"/>
        <v>97392</v>
      </c>
    </row>
    <row r="141" spans="1:21" x14ac:dyDescent="0.25">
      <c r="A141" s="159" t="s">
        <v>162</v>
      </c>
      <c r="B141" s="158" t="s">
        <v>596</v>
      </c>
      <c r="C141" s="159" t="s">
        <v>902</v>
      </c>
      <c r="D141" s="159">
        <v>8</v>
      </c>
      <c r="E141" s="142">
        <v>46</v>
      </c>
      <c r="F141" s="159">
        <v>18400</v>
      </c>
      <c r="G141" s="159">
        <v>8</v>
      </c>
      <c r="H141" s="159">
        <v>25</v>
      </c>
      <c r="I141" s="159">
        <v>12625</v>
      </c>
      <c r="J141" s="159">
        <v>2</v>
      </c>
      <c r="K141" s="159">
        <v>4</v>
      </c>
      <c r="L141" s="142">
        <v>800</v>
      </c>
      <c r="M141" s="159">
        <v>1</v>
      </c>
      <c r="N141" s="159">
        <v>5</v>
      </c>
      <c r="O141" s="143">
        <v>1000</v>
      </c>
      <c r="P141" s="159">
        <v>19</v>
      </c>
      <c r="Q141" s="143">
        <v>39475</v>
      </c>
      <c r="R141" s="159">
        <v>6650</v>
      </c>
      <c r="S141" s="159">
        <v>19</v>
      </c>
      <c r="T141" s="159">
        <v>39475</v>
      </c>
      <c r="U141" s="159">
        <f t="shared" si="2"/>
        <v>31580</v>
      </c>
    </row>
    <row r="142" spans="1:21" x14ac:dyDescent="0.25">
      <c r="A142" s="159" t="s">
        <v>163</v>
      </c>
      <c r="B142" s="158" t="s">
        <v>597</v>
      </c>
      <c r="C142" s="159" t="s">
        <v>903</v>
      </c>
      <c r="D142" s="159">
        <v>133</v>
      </c>
      <c r="E142" s="142">
        <v>665</v>
      </c>
      <c r="F142" s="159">
        <v>266000</v>
      </c>
      <c r="G142" s="159">
        <v>41</v>
      </c>
      <c r="H142" s="159">
        <v>197</v>
      </c>
      <c r="I142" s="159">
        <v>99485</v>
      </c>
      <c r="J142" s="159">
        <v>13</v>
      </c>
      <c r="K142" s="159">
        <v>52</v>
      </c>
      <c r="L142" s="142">
        <v>10400</v>
      </c>
      <c r="M142" s="159">
        <v>10</v>
      </c>
      <c r="N142" s="159">
        <v>50</v>
      </c>
      <c r="O142" s="143">
        <v>10000</v>
      </c>
      <c r="P142" s="159">
        <v>197</v>
      </c>
      <c r="Q142" s="143">
        <v>440285</v>
      </c>
      <c r="R142" s="159">
        <v>54400</v>
      </c>
      <c r="S142" s="159">
        <v>197</v>
      </c>
      <c r="T142" s="159">
        <v>440285</v>
      </c>
      <c r="U142" s="159">
        <f t="shared" si="2"/>
        <v>352228</v>
      </c>
    </row>
    <row r="143" spans="1:21" x14ac:dyDescent="0.25">
      <c r="A143" s="159" t="s">
        <v>164</v>
      </c>
      <c r="B143" s="158" t="s">
        <v>462</v>
      </c>
      <c r="C143" s="159" t="s">
        <v>904</v>
      </c>
      <c r="D143" s="159">
        <v>20</v>
      </c>
      <c r="E143" s="142">
        <v>71</v>
      </c>
      <c r="F143" s="159">
        <v>28400</v>
      </c>
      <c r="G143" s="159">
        <v>0</v>
      </c>
      <c r="H143" s="159">
        <v>0</v>
      </c>
      <c r="I143" s="159">
        <v>0</v>
      </c>
      <c r="J143" s="159">
        <v>0</v>
      </c>
      <c r="K143" s="159">
        <v>0</v>
      </c>
      <c r="L143" s="142">
        <v>0</v>
      </c>
      <c r="M143" s="159">
        <v>3</v>
      </c>
      <c r="N143" s="159">
        <v>12</v>
      </c>
      <c r="O143" s="143">
        <v>2400</v>
      </c>
      <c r="P143" s="159">
        <v>23</v>
      </c>
      <c r="Q143" s="143">
        <v>38850</v>
      </c>
      <c r="R143" s="159">
        <v>8050</v>
      </c>
      <c r="S143" s="159">
        <v>23</v>
      </c>
      <c r="T143" s="159">
        <v>38850</v>
      </c>
      <c r="U143" s="159">
        <f t="shared" si="2"/>
        <v>31080</v>
      </c>
    </row>
    <row r="144" spans="1:21" x14ac:dyDescent="0.25">
      <c r="A144" s="159" t="s">
        <v>165</v>
      </c>
      <c r="B144" s="158" t="s">
        <v>463</v>
      </c>
      <c r="C144" s="159" t="s">
        <v>905</v>
      </c>
      <c r="D144" s="159">
        <v>3</v>
      </c>
      <c r="E144" s="142">
        <v>13</v>
      </c>
      <c r="F144" s="159">
        <v>5200</v>
      </c>
      <c r="G144" s="159">
        <v>1</v>
      </c>
      <c r="H144" s="159">
        <v>3</v>
      </c>
      <c r="I144" s="159">
        <v>1515</v>
      </c>
      <c r="J144" s="159">
        <v>0</v>
      </c>
      <c r="K144" s="159">
        <v>0</v>
      </c>
      <c r="L144" s="142">
        <v>0</v>
      </c>
      <c r="M144" s="159">
        <v>0</v>
      </c>
      <c r="N144" s="159">
        <v>0</v>
      </c>
      <c r="O144" s="143">
        <v>0</v>
      </c>
      <c r="P144" s="159">
        <v>4</v>
      </c>
      <c r="Q144" s="143">
        <v>8115</v>
      </c>
      <c r="R144" s="159">
        <v>1400</v>
      </c>
      <c r="S144" s="159">
        <v>4</v>
      </c>
      <c r="T144" s="159">
        <v>8115</v>
      </c>
      <c r="U144" s="159">
        <f t="shared" si="2"/>
        <v>6492</v>
      </c>
    </row>
    <row r="145" spans="1:21" x14ac:dyDescent="0.25">
      <c r="A145" s="159" t="s">
        <v>166</v>
      </c>
      <c r="B145" s="158" t="s">
        <v>598</v>
      </c>
      <c r="C145" s="159" t="s">
        <v>906</v>
      </c>
      <c r="D145" s="159">
        <v>43</v>
      </c>
      <c r="E145" s="142">
        <v>233</v>
      </c>
      <c r="F145" s="159">
        <v>93200</v>
      </c>
      <c r="G145" s="159">
        <v>5</v>
      </c>
      <c r="H145" s="159">
        <v>24</v>
      </c>
      <c r="I145" s="159">
        <v>12120</v>
      </c>
      <c r="J145" s="159">
        <v>29</v>
      </c>
      <c r="K145" s="159">
        <v>131</v>
      </c>
      <c r="L145" s="142">
        <v>26200</v>
      </c>
      <c r="M145" s="159">
        <v>10</v>
      </c>
      <c r="N145" s="159">
        <v>60</v>
      </c>
      <c r="O145" s="143">
        <v>12000</v>
      </c>
      <c r="P145" s="159">
        <v>87</v>
      </c>
      <c r="Q145" s="143">
        <v>173970</v>
      </c>
      <c r="R145" s="159">
        <v>30450</v>
      </c>
      <c r="S145" s="159">
        <v>87</v>
      </c>
      <c r="T145" s="159">
        <v>173970</v>
      </c>
      <c r="U145" s="159">
        <f t="shared" si="2"/>
        <v>139176</v>
      </c>
    </row>
    <row r="146" spans="1:21" x14ac:dyDescent="0.25">
      <c r="A146" s="159" t="s">
        <v>167</v>
      </c>
      <c r="B146" s="158" t="s">
        <v>464</v>
      </c>
      <c r="C146" s="159" t="s">
        <v>907</v>
      </c>
      <c r="D146" s="159">
        <v>16</v>
      </c>
      <c r="E146" s="142">
        <v>72</v>
      </c>
      <c r="F146" s="159">
        <v>28800</v>
      </c>
      <c r="G146" s="159">
        <v>4</v>
      </c>
      <c r="H146" s="159">
        <v>12</v>
      </c>
      <c r="I146" s="159">
        <v>6060</v>
      </c>
      <c r="J146" s="159">
        <v>4</v>
      </c>
      <c r="K146" s="159">
        <v>24</v>
      </c>
      <c r="L146" s="142">
        <v>4800</v>
      </c>
      <c r="M146" s="159">
        <v>5</v>
      </c>
      <c r="N146" s="159">
        <v>30</v>
      </c>
      <c r="O146" s="143">
        <v>6000</v>
      </c>
      <c r="P146" s="159">
        <v>29</v>
      </c>
      <c r="Q146" s="143">
        <v>55810</v>
      </c>
      <c r="R146" s="159">
        <v>10150</v>
      </c>
      <c r="S146" s="159">
        <v>29</v>
      </c>
      <c r="T146" s="159">
        <v>55810</v>
      </c>
      <c r="U146" s="159">
        <f t="shared" si="2"/>
        <v>44648</v>
      </c>
    </row>
    <row r="147" spans="1:21" x14ac:dyDescent="0.25">
      <c r="A147" s="159" t="s">
        <v>168</v>
      </c>
      <c r="B147" s="158" t="s">
        <v>599</v>
      </c>
      <c r="C147" s="159" t="s">
        <v>908</v>
      </c>
      <c r="D147" s="159">
        <v>43</v>
      </c>
      <c r="E147" s="142">
        <v>172</v>
      </c>
      <c r="F147" s="159">
        <v>68800</v>
      </c>
      <c r="G147" s="159">
        <v>40</v>
      </c>
      <c r="H147" s="159">
        <v>120</v>
      </c>
      <c r="I147" s="159">
        <v>60600</v>
      </c>
      <c r="J147" s="159">
        <v>2</v>
      </c>
      <c r="K147" s="159">
        <v>10</v>
      </c>
      <c r="L147" s="142">
        <v>2000</v>
      </c>
      <c r="M147" s="159">
        <v>7</v>
      </c>
      <c r="N147" s="159">
        <v>35</v>
      </c>
      <c r="O147" s="143">
        <v>7000</v>
      </c>
      <c r="P147" s="159">
        <v>92</v>
      </c>
      <c r="Q147" s="143">
        <v>170600</v>
      </c>
      <c r="R147" s="159">
        <v>32200</v>
      </c>
      <c r="S147" s="159">
        <v>92</v>
      </c>
      <c r="T147" s="159">
        <v>170600</v>
      </c>
      <c r="U147" s="159">
        <f t="shared" si="2"/>
        <v>136480</v>
      </c>
    </row>
    <row r="148" spans="1:21" x14ac:dyDescent="0.25">
      <c r="A148" s="159" t="s">
        <v>169</v>
      </c>
      <c r="B148" s="158" t="s">
        <v>600</v>
      </c>
      <c r="C148" s="159" t="s">
        <v>909</v>
      </c>
      <c r="D148" s="159">
        <v>3</v>
      </c>
      <c r="E148" s="142">
        <v>17</v>
      </c>
      <c r="F148" s="159">
        <v>6800</v>
      </c>
      <c r="G148" s="159">
        <v>2</v>
      </c>
      <c r="H148" s="159">
        <v>10</v>
      </c>
      <c r="I148" s="159">
        <v>5050</v>
      </c>
      <c r="J148" s="159">
        <v>2</v>
      </c>
      <c r="K148" s="159">
        <v>6</v>
      </c>
      <c r="L148" s="142">
        <v>1200</v>
      </c>
      <c r="M148" s="159">
        <v>1</v>
      </c>
      <c r="N148" s="159">
        <v>3</v>
      </c>
      <c r="O148" s="143">
        <v>600</v>
      </c>
      <c r="P148" s="159">
        <v>8</v>
      </c>
      <c r="Q148" s="143">
        <v>16450</v>
      </c>
      <c r="R148" s="159">
        <v>2800</v>
      </c>
      <c r="S148" s="159">
        <v>8</v>
      </c>
      <c r="T148" s="159">
        <v>16450</v>
      </c>
      <c r="U148" s="159">
        <f t="shared" si="2"/>
        <v>13160</v>
      </c>
    </row>
    <row r="149" spans="1:21" x14ac:dyDescent="0.25">
      <c r="A149" s="159" t="s">
        <v>170</v>
      </c>
      <c r="B149" s="158" t="s">
        <v>171</v>
      </c>
      <c r="C149" s="159" t="s">
        <v>910</v>
      </c>
      <c r="D149" s="159">
        <v>6</v>
      </c>
      <c r="E149" s="142">
        <v>30</v>
      </c>
      <c r="F149" s="159">
        <v>12000</v>
      </c>
      <c r="G149" s="159">
        <v>6</v>
      </c>
      <c r="H149" s="159">
        <v>29</v>
      </c>
      <c r="I149" s="159">
        <v>14645</v>
      </c>
      <c r="J149" s="159">
        <v>2</v>
      </c>
      <c r="K149" s="159">
        <v>10</v>
      </c>
      <c r="L149" s="142">
        <v>2000</v>
      </c>
      <c r="M149" s="159">
        <v>2</v>
      </c>
      <c r="N149" s="159">
        <v>10</v>
      </c>
      <c r="O149" s="143">
        <v>2000</v>
      </c>
      <c r="P149" s="159">
        <v>16</v>
      </c>
      <c r="Q149" s="143">
        <v>36245</v>
      </c>
      <c r="R149" s="159">
        <v>5600</v>
      </c>
      <c r="S149" s="159">
        <v>16</v>
      </c>
      <c r="T149" s="159">
        <v>36245</v>
      </c>
      <c r="U149" s="159">
        <f t="shared" si="2"/>
        <v>28996</v>
      </c>
    </row>
    <row r="150" spans="1:21" x14ac:dyDescent="0.25">
      <c r="A150" s="159" t="s">
        <v>172</v>
      </c>
      <c r="B150" s="158" t="s">
        <v>601</v>
      </c>
      <c r="C150" s="159" t="s">
        <v>911</v>
      </c>
      <c r="D150" s="159">
        <v>24</v>
      </c>
      <c r="E150" s="142">
        <v>120</v>
      </c>
      <c r="F150" s="159">
        <v>48000</v>
      </c>
      <c r="G150" s="159">
        <v>0</v>
      </c>
      <c r="H150" s="159">
        <v>0</v>
      </c>
      <c r="I150" s="159">
        <v>0</v>
      </c>
      <c r="J150" s="159">
        <v>0</v>
      </c>
      <c r="K150" s="159">
        <v>0</v>
      </c>
      <c r="L150" s="142">
        <v>0</v>
      </c>
      <c r="M150" s="159">
        <v>5</v>
      </c>
      <c r="N150" s="159">
        <v>35</v>
      </c>
      <c r="O150" s="143">
        <v>7000</v>
      </c>
      <c r="P150" s="159">
        <v>29</v>
      </c>
      <c r="Q150" s="143">
        <v>65150</v>
      </c>
      <c r="R150" s="159">
        <v>10150</v>
      </c>
      <c r="S150" s="159">
        <v>29</v>
      </c>
      <c r="T150" s="159">
        <v>65150</v>
      </c>
      <c r="U150" s="159">
        <f t="shared" si="2"/>
        <v>52120</v>
      </c>
    </row>
    <row r="151" spans="1:21" x14ac:dyDescent="0.25">
      <c r="A151" s="159" t="s">
        <v>384</v>
      </c>
      <c r="B151" s="158" t="s">
        <v>385</v>
      </c>
      <c r="C151" s="159" t="s">
        <v>912</v>
      </c>
      <c r="D151" s="159">
        <v>8</v>
      </c>
      <c r="E151" s="142">
        <v>40</v>
      </c>
      <c r="F151" s="159">
        <v>16000</v>
      </c>
      <c r="G151" s="159">
        <v>5</v>
      </c>
      <c r="H151" s="159">
        <v>24</v>
      </c>
      <c r="I151" s="159">
        <v>12120</v>
      </c>
      <c r="J151" s="159">
        <v>6</v>
      </c>
      <c r="K151" s="159">
        <v>18</v>
      </c>
      <c r="L151" s="142">
        <v>3600</v>
      </c>
      <c r="M151" s="159">
        <v>6</v>
      </c>
      <c r="N151" s="159">
        <v>30</v>
      </c>
      <c r="O151" s="143">
        <v>6000</v>
      </c>
      <c r="P151" s="159">
        <v>25</v>
      </c>
      <c r="Q151" s="143">
        <v>46470</v>
      </c>
      <c r="R151" s="159">
        <v>8750</v>
      </c>
      <c r="S151" s="159">
        <v>25</v>
      </c>
      <c r="T151" s="159">
        <v>46470</v>
      </c>
      <c r="U151" s="159">
        <f t="shared" si="2"/>
        <v>37176</v>
      </c>
    </row>
    <row r="152" spans="1:21" x14ac:dyDescent="0.25">
      <c r="A152" s="159" t="s">
        <v>173</v>
      </c>
      <c r="B152" s="158" t="s">
        <v>602</v>
      </c>
      <c r="C152" s="159" t="s">
        <v>913</v>
      </c>
      <c r="D152" s="159">
        <v>10</v>
      </c>
      <c r="E152" s="142">
        <v>50</v>
      </c>
      <c r="F152" s="159">
        <v>20000</v>
      </c>
      <c r="G152" s="159">
        <v>14</v>
      </c>
      <c r="H152" s="159">
        <v>67</v>
      </c>
      <c r="I152" s="159">
        <v>33835</v>
      </c>
      <c r="J152" s="159">
        <v>1</v>
      </c>
      <c r="K152" s="159">
        <v>5</v>
      </c>
      <c r="L152" s="142">
        <v>1000</v>
      </c>
      <c r="M152" s="159">
        <v>1</v>
      </c>
      <c r="N152" s="159">
        <v>5</v>
      </c>
      <c r="O152" s="143">
        <v>1000</v>
      </c>
      <c r="P152" s="159">
        <v>26</v>
      </c>
      <c r="Q152" s="143">
        <v>64935</v>
      </c>
      <c r="R152" s="159">
        <v>9100</v>
      </c>
      <c r="S152" s="159">
        <v>26</v>
      </c>
      <c r="T152" s="159">
        <v>64935</v>
      </c>
      <c r="U152" s="159">
        <f t="shared" si="2"/>
        <v>51948</v>
      </c>
    </row>
    <row r="153" spans="1:21" x14ac:dyDescent="0.25">
      <c r="A153" s="159" t="s">
        <v>174</v>
      </c>
      <c r="B153" s="158" t="s">
        <v>603</v>
      </c>
      <c r="C153" s="159" t="s">
        <v>914</v>
      </c>
      <c r="D153" s="159">
        <v>370</v>
      </c>
      <c r="E153" s="142">
        <v>1850</v>
      </c>
      <c r="F153" s="159">
        <v>740000</v>
      </c>
      <c r="G153" s="159">
        <v>0</v>
      </c>
      <c r="H153" s="159">
        <v>0</v>
      </c>
      <c r="I153" s="159">
        <v>0</v>
      </c>
      <c r="J153" s="159">
        <v>42</v>
      </c>
      <c r="K153" s="159">
        <v>252</v>
      </c>
      <c r="L153" s="142">
        <v>50400</v>
      </c>
      <c r="M153" s="159">
        <v>12</v>
      </c>
      <c r="N153" s="159">
        <v>72</v>
      </c>
      <c r="O153" s="143">
        <v>14400</v>
      </c>
      <c r="P153" s="159">
        <v>424</v>
      </c>
      <c r="Q153" s="143">
        <v>904600</v>
      </c>
      <c r="R153" s="159">
        <v>99800</v>
      </c>
      <c r="S153" s="159">
        <v>424</v>
      </c>
      <c r="T153" s="159">
        <v>904600</v>
      </c>
      <c r="U153" s="159">
        <f t="shared" si="2"/>
        <v>723680</v>
      </c>
    </row>
    <row r="154" spans="1:21" x14ac:dyDescent="0.25">
      <c r="A154" s="159" t="s">
        <v>175</v>
      </c>
      <c r="B154" s="158" t="s">
        <v>603</v>
      </c>
      <c r="C154" s="159" t="s">
        <v>915</v>
      </c>
      <c r="D154" s="159">
        <v>0</v>
      </c>
      <c r="E154" s="142">
        <v>0</v>
      </c>
      <c r="F154" s="159">
        <v>0</v>
      </c>
      <c r="G154" s="159">
        <v>158</v>
      </c>
      <c r="H154" s="159">
        <v>758</v>
      </c>
      <c r="I154" s="159">
        <v>382790</v>
      </c>
      <c r="J154" s="159">
        <v>2</v>
      </c>
      <c r="K154" s="159">
        <v>14</v>
      </c>
      <c r="L154" s="142">
        <v>2800</v>
      </c>
      <c r="M154" s="159">
        <v>7</v>
      </c>
      <c r="N154" s="159">
        <v>56</v>
      </c>
      <c r="O154" s="143">
        <v>11200</v>
      </c>
      <c r="P154" s="159">
        <v>167</v>
      </c>
      <c r="Q154" s="143">
        <v>445190</v>
      </c>
      <c r="R154" s="159">
        <v>48400</v>
      </c>
      <c r="S154" s="159">
        <v>167</v>
      </c>
      <c r="T154" s="159">
        <v>445190</v>
      </c>
      <c r="U154" s="159">
        <f t="shared" si="2"/>
        <v>356152</v>
      </c>
    </row>
    <row r="155" spans="1:21" x14ac:dyDescent="0.25">
      <c r="A155" s="159" t="s">
        <v>176</v>
      </c>
      <c r="B155" s="158" t="s">
        <v>604</v>
      </c>
      <c r="C155" s="159" t="s">
        <v>916</v>
      </c>
      <c r="D155" s="159">
        <v>29</v>
      </c>
      <c r="E155" s="142">
        <v>168</v>
      </c>
      <c r="F155" s="159">
        <v>67200</v>
      </c>
      <c r="G155" s="159">
        <v>30</v>
      </c>
      <c r="H155" s="159">
        <v>120</v>
      </c>
      <c r="I155" s="159">
        <v>60600</v>
      </c>
      <c r="J155" s="159">
        <v>1</v>
      </c>
      <c r="K155" s="159">
        <v>5</v>
      </c>
      <c r="L155" s="142">
        <v>1000</v>
      </c>
      <c r="M155" s="159">
        <v>2</v>
      </c>
      <c r="N155" s="159">
        <v>10</v>
      </c>
      <c r="O155" s="143">
        <v>2000</v>
      </c>
      <c r="P155" s="159">
        <v>62</v>
      </c>
      <c r="Q155" s="143">
        <v>152500</v>
      </c>
      <c r="R155" s="159">
        <v>21700</v>
      </c>
      <c r="S155" s="159">
        <v>62</v>
      </c>
      <c r="T155" s="159">
        <v>152500</v>
      </c>
      <c r="U155" s="159">
        <f t="shared" si="2"/>
        <v>122000</v>
      </c>
    </row>
    <row r="156" spans="1:21" x14ac:dyDescent="0.25">
      <c r="A156" s="159" t="s">
        <v>177</v>
      </c>
      <c r="B156" s="158" t="s">
        <v>605</v>
      </c>
      <c r="C156" s="159" t="s">
        <v>917</v>
      </c>
      <c r="D156" s="159">
        <v>6</v>
      </c>
      <c r="E156" s="142">
        <v>35</v>
      </c>
      <c r="F156" s="159">
        <v>14000</v>
      </c>
      <c r="G156" s="159">
        <v>8</v>
      </c>
      <c r="H156" s="159">
        <v>32</v>
      </c>
      <c r="I156" s="159">
        <v>16160</v>
      </c>
      <c r="J156" s="159">
        <v>2</v>
      </c>
      <c r="K156" s="159">
        <v>10</v>
      </c>
      <c r="L156" s="142">
        <v>2000</v>
      </c>
      <c r="M156" s="159">
        <v>3</v>
      </c>
      <c r="N156" s="159">
        <v>15</v>
      </c>
      <c r="O156" s="143">
        <v>3000</v>
      </c>
      <c r="P156" s="159">
        <v>19</v>
      </c>
      <c r="Q156" s="143">
        <v>41810</v>
      </c>
      <c r="R156" s="159">
        <v>6650</v>
      </c>
      <c r="S156" s="159">
        <v>19</v>
      </c>
      <c r="T156" s="159">
        <v>41810</v>
      </c>
      <c r="U156" s="159">
        <f t="shared" si="2"/>
        <v>33448</v>
      </c>
    </row>
    <row r="157" spans="1:21" x14ac:dyDescent="0.25">
      <c r="A157" s="159" t="s">
        <v>178</v>
      </c>
      <c r="B157" s="158" t="s">
        <v>606</v>
      </c>
      <c r="C157" s="159" t="s">
        <v>918</v>
      </c>
      <c r="D157" s="159">
        <v>25</v>
      </c>
      <c r="E157" s="142">
        <v>145</v>
      </c>
      <c r="F157" s="159">
        <v>58000</v>
      </c>
      <c r="G157" s="159">
        <v>0</v>
      </c>
      <c r="H157" s="159">
        <v>0</v>
      </c>
      <c r="I157" s="159">
        <v>0</v>
      </c>
      <c r="J157" s="159">
        <v>7</v>
      </c>
      <c r="K157" s="159">
        <v>35</v>
      </c>
      <c r="L157" s="142">
        <v>7000</v>
      </c>
      <c r="M157" s="159">
        <v>2</v>
      </c>
      <c r="N157" s="159">
        <v>10</v>
      </c>
      <c r="O157" s="143">
        <v>2000</v>
      </c>
      <c r="P157" s="159">
        <v>34</v>
      </c>
      <c r="Q157" s="143">
        <v>78900</v>
      </c>
      <c r="R157" s="159">
        <v>11900</v>
      </c>
      <c r="S157" s="159">
        <v>34</v>
      </c>
      <c r="T157" s="159">
        <v>78900</v>
      </c>
      <c r="U157" s="159">
        <f t="shared" si="2"/>
        <v>63120</v>
      </c>
    </row>
    <row r="158" spans="1:21" x14ac:dyDescent="0.25">
      <c r="A158" s="159" t="s">
        <v>179</v>
      </c>
      <c r="B158" s="158" t="s">
        <v>607</v>
      </c>
      <c r="C158" s="159" t="s">
        <v>919</v>
      </c>
      <c r="D158" s="159">
        <v>104</v>
      </c>
      <c r="E158" s="142">
        <v>582</v>
      </c>
      <c r="F158" s="159">
        <v>232800</v>
      </c>
      <c r="G158" s="159">
        <v>20</v>
      </c>
      <c r="H158" s="159">
        <v>80</v>
      </c>
      <c r="I158" s="159">
        <v>40400</v>
      </c>
      <c r="J158" s="159">
        <v>14</v>
      </c>
      <c r="K158" s="159">
        <v>70</v>
      </c>
      <c r="L158" s="142">
        <v>14000</v>
      </c>
      <c r="M158" s="159">
        <v>32</v>
      </c>
      <c r="N158" s="159">
        <v>160</v>
      </c>
      <c r="O158" s="143">
        <v>32000</v>
      </c>
      <c r="P158" s="159">
        <v>170</v>
      </c>
      <c r="Q158" s="143">
        <v>368200</v>
      </c>
      <c r="R158" s="159">
        <v>49000</v>
      </c>
      <c r="S158" s="159">
        <v>170</v>
      </c>
      <c r="T158" s="159">
        <v>368200</v>
      </c>
      <c r="U158" s="159">
        <f t="shared" si="2"/>
        <v>294560</v>
      </c>
    </row>
    <row r="159" spans="1:21" x14ac:dyDescent="0.25">
      <c r="A159" s="159" t="s">
        <v>180</v>
      </c>
      <c r="B159" s="158" t="s">
        <v>608</v>
      </c>
      <c r="C159" s="159" t="s">
        <v>920</v>
      </c>
      <c r="D159" s="159">
        <v>2</v>
      </c>
      <c r="E159" s="142">
        <v>10</v>
      </c>
      <c r="F159" s="159">
        <v>4000</v>
      </c>
      <c r="G159" s="159">
        <v>6</v>
      </c>
      <c r="H159" s="159">
        <v>24</v>
      </c>
      <c r="I159" s="159">
        <v>12120</v>
      </c>
      <c r="J159" s="159">
        <v>2</v>
      </c>
      <c r="K159" s="159">
        <v>10</v>
      </c>
      <c r="L159" s="142">
        <v>2000</v>
      </c>
      <c r="M159" s="159">
        <v>2</v>
      </c>
      <c r="N159" s="159">
        <v>13</v>
      </c>
      <c r="O159" s="143">
        <v>2600</v>
      </c>
      <c r="P159" s="159">
        <v>12</v>
      </c>
      <c r="Q159" s="143">
        <v>24920</v>
      </c>
      <c r="R159" s="159">
        <v>4200</v>
      </c>
      <c r="S159" s="159">
        <v>12</v>
      </c>
      <c r="T159" s="159">
        <v>24920</v>
      </c>
      <c r="U159" s="159">
        <f t="shared" si="2"/>
        <v>19936</v>
      </c>
    </row>
    <row r="160" spans="1:21" x14ac:dyDescent="0.25">
      <c r="A160" s="159" t="s">
        <v>181</v>
      </c>
      <c r="B160" s="158" t="s">
        <v>465</v>
      </c>
      <c r="C160" s="159" t="s">
        <v>921</v>
      </c>
      <c r="D160" s="159">
        <v>4</v>
      </c>
      <c r="E160" s="142">
        <v>23</v>
      </c>
      <c r="F160" s="159">
        <v>9200</v>
      </c>
      <c r="G160" s="159">
        <v>8</v>
      </c>
      <c r="H160" s="159">
        <v>24</v>
      </c>
      <c r="I160" s="159">
        <v>12120</v>
      </c>
      <c r="J160" s="159">
        <v>3</v>
      </c>
      <c r="K160" s="159">
        <v>30</v>
      </c>
      <c r="L160" s="142">
        <v>6000</v>
      </c>
      <c r="M160" s="159">
        <v>3</v>
      </c>
      <c r="N160" s="159">
        <v>30</v>
      </c>
      <c r="O160" s="143">
        <v>6000</v>
      </c>
      <c r="P160" s="159">
        <v>18</v>
      </c>
      <c r="Q160" s="143">
        <v>39620</v>
      </c>
      <c r="R160" s="159">
        <v>6300</v>
      </c>
      <c r="S160" s="159">
        <v>18</v>
      </c>
      <c r="T160" s="159">
        <v>39620</v>
      </c>
      <c r="U160" s="159">
        <f t="shared" si="2"/>
        <v>31696</v>
      </c>
    </row>
    <row r="161" spans="1:21" x14ac:dyDescent="0.25">
      <c r="A161" s="159" t="s">
        <v>182</v>
      </c>
      <c r="B161" s="158" t="s">
        <v>466</v>
      </c>
      <c r="C161" s="159" t="s">
        <v>922</v>
      </c>
      <c r="D161" s="159">
        <v>29</v>
      </c>
      <c r="E161" s="142">
        <v>145</v>
      </c>
      <c r="F161" s="159">
        <v>58000</v>
      </c>
      <c r="G161" s="159">
        <v>60</v>
      </c>
      <c r="H161" s="159">
        <v>288</v>
      </c>
      <c r="I161" s="159">
        <v>145440</v>
      </c>
      <c r="J161" s="159">
        <v>3</v>
      </c>
      <c r="K161" s="159">
        <v>21</v>
      </c>
      <c r="L161" s="142">
        <v>4200</v>
      </c>
      <c r="M161" s="159">
        <v>7</v>
      </c>
      <c r="N161" s="159">
        <v>49</v>
      </c>
      <c r="O161" s="143">
        <v>9800</v>
      </c>
      <c r="P161" s="159">
        <v>99</v>
      </c>
      <c r="Q161" s="143">
        <v>252090</v>
      </c>
      <c r="R161" s="159">
        <v>34650</v>
      </c>
      <c r="S161" s="159">
        <v>99</v>
      </c>
      <c r="T161" s="159">
        <v>252090</v>
      </c>
      <c r="U161" s="159">
        <f t="shared" si="2"/>
        <v>201672</v>
      </c>
    </row>
    <row r="162" spans="1:21" x14ac:dyDescent="0.25">
      <c r="A162" s="159" t="s">
        <v>183</v>
      </c>
      <c r="B162" s="158" t="s">
        <v>609</v>
      </c>
      <c r="C162" s="159" t="s">
        <v>923</v>
      </c>
      <c r="D162" s="159">
        <v>700</v>
      </c>
      <c r="E162" s="142">
        <v>4060</v>
      </c>
      <c r="F162" s="159">
        <v>1624000</v>
      </c>
      <c r="G162" s="159">
        <v>0</v>
      </c>
      <c r="H162" s="159">
        <v>0</v>
      </c>
      <c r="I162" s="159">
        <v>0</v>
      </c>
      <c r="J162" s="159">
        <v>16</v>
      </c>
      <c r="K162" s="159">
        <v>80</v>
      </c>
      <c r="L162" s="142">
        <v>16000</v>
      </c>
      <c r="M162" s="159">
        <v>16</v>
      </c>
      <c r="N162" s="159">
        <v>80</v>
      </c>
      <c r="O162" s="143">
        <v>16000</v>
      </c>
      <c r="P162" s="159">
        <v>732</v>
      </c>
      <c r="Q162" s="143">
        <v>1817400</v>
      </c>
      <c r="R162" s="159">
        <v>161400</v>
      </c>
      <c r="S162" s="159">
        <v>732</v>
      </c>
      <c r="T162" s="159">
        <v>1817400</v>
      </c>
      <c r="U162" s="159">
        <f t="shared" si="2"/>
        <v>1453920</v>
      </c>
    </row>
    <row r="163" spans="1:21" x14ac:dyDescent="0.25">
      <c r="A163" s="159" t="s">
        <v>184</v>
      </c>
      <c r="B163" s="158" t="s">
        <v>610</v>
      </c>
      <c r="C163" s="159" t="s">
        <v>924</v>
      </c>
      <c r="D163" s="159">
        <v>30</v>
      </c>
      <c r="E163" s="142">
        <v>120</v>
      </c>
      <c r="F163" s="159">
        <v>48000</v>
      </c>
      <c r="G163" s="159">
        <v>12</v>
      </c>
      <c r="H163" s="159">
        <v>48</v>
      </c>
      <c r="I163" s="159">
        <v>24240</v>
      </c>
      <c r="J163" s="159">
        <v>5</v>
      </c>
      <c r="K163" s="159">
        <v>25</v>
      </c>
      <c r="L163" s="142">
        <v>5000</v>
      </c>
      <c r="M163" s="159">
        <v>5</v>
      </c>
      <c r="N163" s="159">
        <v>25</v>
      </c>
      <c r="O163" s="143">
        <v>5000</v>
      </c>
      <c r="P163" s="159">
        <v>52</v>
      </c>
      <c r="Q163" s="143">
        <v>100440</v>
      </c>
      <c r="R163" s="159">
        <v>18200</v>
      </c>
      <c r="S163" s="159">
        <v>52</v>
      </c>
      <c r="T163" s="159">
        <v>100440</v>
      </c>
      <c r="U163" s="159">
        <f t="shared" si="2"/>
        <v>80352</v>
      </c>
    </row>
    <row r="164" spans="1:21" x14ac:dyDescent="0.25">
      <c r="A164" s="159" t="s">
        <v>185</v>
      </c>
      <c r="B164" s="158" t="s">
        <v>611</v>
      </c>
      <c r="C164" s="159" t="s">
        <v>925</v>
      </c>
      <c r="D164" s="159">
        <v>42</v>
      </c>
      <c r="E164" s="142">
        <v>189</v>
      </c>
      <c r="F164" s="159">
        <v>75600</v>
      </c>
      <c r="G164" s="159">
        <v>21</v>
      </c>
      <c r="H164" s="159">
        <v>84</v>
      </c>
      <c r="I164" s="159">
        <v>42420</v>
      </c>
      <c r="J164" s="159">
        <v>11</v>
      </c>
      <c r="K164" s="159">
        <v>77</v>
      </c>
      <c r="L164" s="142">
        <v>15400</v>
      </c>
      <c r="M164" s="159">
        <v>13</v>
      </c>
      <c r="N164" s="159">
        <v>91</v>
      </c>
      <c r="O164" s="143">
        <v>18200</v>
      </c>
      <c r="P164" s="159">
        <v>87</v>
      </c>
      <c r="Q164" s="143">
        <v>182070</v>
      </c>
      <c r="R164" s="159">
        <v>30450</v>
      </c>
      <c r="S164" s="159">
        <v>87</v>
      </c>
      <c r="T164" s="159">
        <v>182070</v>
      </c>
      <c r="U164" s="159">
        <f t="shared" si="2"/>
        <v>145656</v>
      </c>
    </row>
    <row r="165" spans="1:21" x14ac:dyDescent="0.25">
      <c r="A165" s="159" t="s">
        <v>612</v>
      </c>
      <c r="B165" s="158" t="s">
        <v>1128</v>
      </c>
      <c r="C165" s="159" t="s">
        <v>926</v>
      </c>
      <c r="D165" s="159">
        <v>0</v>
      </c>
      <c r="E165" s="142">
        <v>0</v>
      </c>
      <c r="F165" s="159">
        <v>0</v>
      </c>
      <c r="G165" s="159">
        <v>46</v>
      </c>
      <c r="H165" s="159">
        <v>138</v>
      </c>
      <c r="I165" s="159">
        <v>69690</v>
      </c>
      <c r="J165" s="159">
        <v>0</v>
      </c>
      <c r="K165" s="159">
        <v>0</v>
      </c>
      <c r="L165" s="142">
        <v>0</v>
      </c>
      <c r="M165" s="159">
        <v>0</v>
      </c>
      <c r="N165" s="159">
        <v>0</v>
      </c>
      <c r="O165" s="143">
        <v>0</v>
      </c>
      <c r="P165" s="159">
        <v>46</v>
      </c>
      <c r="Q165" s="143">
        <v>85790</v>
      </c>
      <c r="R165" s="159">
        <v>16100</v>
      </c>
      <c r="S165" s="159">
        <v>46</v>
      </c>
      <c r="T165" s="159">
        <v>85790</v>
      </c>
      <c r="U165" s="159">
        <f t="shared" si="2"/>
        <v>68632</v>
      </c>
    </row>
    <row r="166" spans="1:21" x14ac:dyDescent="0.25">
      <c r="A166" s="159" t="s">
        <v>186</v>
      </c>
      <c r="B166" s="158" t="s">
        <v>467</v>
      </c>
      <c r="C166" s="159" t="s">
        <v>927</v>
      </c>
      <c r="D166" s="159">
        <v>30</v>
      </c>
      <c r="E166" s="142">
        <v>120</v>
      </c>
      <c r="F166" s="159">
        <v>48000</v>
      </c>
      <c r="G166" s="159">
        <v>8</v>
      </c>
      <c r="H166" s="159">
        <v>24</v>
      </c>
      <c r="I166" s="159">
        <v>12120</v>
      </c>
      <c r="J166" s="159">
        <v>1</v>
      </c>
      <c r="K166" s="159">
        <v>7</v>
      </c>
      <c r="L166" s="142">
        <v>1400</v>
      </c>
      <c r="M166" s="159">
        <v>2</v>
      </c>
      <c r="N166" s="159">
        <v>20</v>
      </c>
      <c r="O166" s="143">
        <v>4000</v>
      </c>
      <c r="P166" s="159">
        <v>41</v>
      </c>
      <c r="Q166" s="143">
        <v>79870</v>
      </c>
      <c r="R166" s="159">
        <v>14350</v>
      </c>
      <c r="S166" s="159">
        <v>41</v>
      </c>
      <c r="T166" s="159">
        <v>79870</v>
      </c>
      <c r="U166" s="159">
        <f t="shared" si="2"/>
        <v>63896</v>
      </c>
    </row>
    <row r="167" spans="1:21" x14ac:dyDescent="0.25">
      <c r="A167" s="159" t="s">
        <v>187</v>
      </c>
      <c r="B167" s="158" t="s">
        <v>613</v>
      </c>
      <c r="C167" s="159" t="s">
        <v>928</v>
      </c>
      <c r="D167" s="159">
        <v>237</v>
      </c>
      <c r="E167" s="142">
        <v>1185</v>
      </c>
      <c r="F167" s="159">
        <v>474000</v>
      </c>
      <c r="G167" s="159">
        <v>0</v>
      </c>
      <c r="H167" s="159">
        <v>0</v>
      </c>
      <c r="I167" s="159">
        <v>0</v>
      </c>
      <c r="J167" s="159">
        <v>18</v>
      </c>
      <c r="K167" s="159">
        <v>108</v>
      </c>
      <c r="L167" s="142">
        <v>21600</v>
      </c>
      <c r="M167" s="159">
        <v>21</v>
      </c>
      <c r="N167" s="159">
        <v>147</v>
      </c>
      <c r="O167" s="143">
        <v>29400</v>
      </c>
      <c r="P167" s="159">
        <v>276</v>
      </c>
      <c r="Q167" s="143">
        <v>595200</v>
      </c>
      <c r="R167" s="159">
        <v>70200</v>
      </c>
      <c r="S167" s="159">
        <v>276</v>
      </c>
      <c r="T167" s="159">
        <v>595200</v>
      </c>
      <c r="U167" s="159">
        <f t="shared" si="2"/>
        <v>476160</v>
      </c>
    </row>
    <row r="168" spans="1:21" x14ac:dyDescent="0.25">
      <c r="A168" s="159" t="s">
        <v>188</v>
      </c>
      <c r="B168" s="158" t="s">
        <v>468</v>
      </c>
      <c r="C168" s="159" t="s">
        <v>929</v>
      </c>
      <c r="D168" s="159">
        <v>12</v>
      </c>
      <c r="E168" s="142">
        <v>54</v>
      </c>
      <c r="F168" s="159">
        <v>21600</v>
      </c>
      <c r="G168" s="159">
        <v>1</v>
      </c>
      <c r="H168" s="159">
        <v>4</v>
      </c>
      <c r="I168" s="159">
        <v>2020</v>
      </c>
      <c r="J168" s="159">
        <v>3</v>
      </c>
      <c r="K168" s="159">
        <v>21</v>
      </c>
      <c r="L168" s="142">
        <v>4200</v>
      </c>
      <c r="M168" s="159">
        <v>2</v>
      </c>
      <c r="N168" s="159">
        <v>14</v>
      </c>
      <c r="O168" s="143">
        <v>2800</v>
      </c>
      <c r="P168" s="159">
        <v>18</v>
      </c>
      <c r="Q168" s="143">
        <v>36920</v>
      </c>
      <c r="R168" s="159">
        <v>6300</v>
      </c>
      <c r="S168" s="159">
        <v>18</v>
      </c>
      <c r="T168" s="159">
        <v>36920</v>
      </c>
      <c r="U168" s="159">
        <f t="shared" si="2"/>
        <v>29536</v>
      </c>
    </row>
    <row r="169" spans="1:21" x14ac:dyDescent="0.25">
      <c r="A169" s="159" t="s">
        <v>189</v>
      </c>
      <c r="B169" s="158" t="s">
        <v>614</v>
      </c>
      <c r="C169" s="159" t="s">
        <v>930</v>
      </c>
      <c r="D169" s="159">
        <v>232</v>
      </c>
      <c r="E169" s="142">
        <v>1160</v>
      </c>
      <c r="F169" s="159">
        <v>464000</v>
      </c>
      <c r="G169" s="159">
        <v>0</v>
      </c>
      <c r="H169" s="159">
        <v>0</v>
      </c>
      <c r="I169" s="159">
        <v>0</v>
      </c>
      <c r="J169" s="159">
        <v>16</v>
      </c>
      <c r="K169" s="159">
        <v>112</v>
      </c>
      <c r="L169" s="142">
        <v>22400</v>
      </c>
      <c r="M169" s="159">
        <v>3</v>
      </c>
      <c r="N169" s="159">
        <v>21</v>
      </c>
      <c r="O169" s="143">
        <v>4200</v>
      </c>
      <c r="P169" s="159">
        <v>251</v>
      </c>
      <c r="Q169" s="143">
        <v>555800</v>
      </c>
      <c r="R169" s="159">
        <v>65200</v>
      </c>
      <c r="S169" s="159">
        <v>251</v>
      </c>
      <c r="T169" s="159">
        <v>555800</v>
      </c>
      <c r="U169" s="159">
        <f t="shared" si="2"/>
        <v>444640</v>
      </c>
    </row>
    <row r="170" spans="1:21" x14ac:dyDescent="0.25">
      <c r="A170" s="159" t="s">
        <v>190</v>
      </c>
      <c r="B170" s="158" t="s">
        <v>615</v>
      </c>
      <c r="C170" s="159" t="s">
        <v>931</v>
      </c>
      <c r="D170" s="159">
        <v>46</v>
      </c>
      <c r="E170" s="142">
        <v>230</v>
      </c>
      <c r="F170" s="159">
        <v>92000</v>
      </c>
      <c r="G170" s="159">
        <v>23</v>
      </c>
      <c r="H170" s="159">
        <v>92</v>
      </c>
      <c r="I170" s="159">
        <v>46460</v>
      </c>
      <c r="J170" s="159">
        <v>5</v>
      </c>
      <c r="K170" s="159">
        <v>25</v>
      </c>
      <c r="L170" s="142">
        <v>5000</v>
      </c>
      <c r="M170" s="159">
        <v>4</v>
      </c>
      <c r="N170" s="159">
        <v>24</v>
      </c>
      <c r="O170" s="143">
        <v>4800</v>
      </c>
      <c r="P170" s="159">
        <v>78</v>
      </c>
      <c r="Q170" s="143">
        <v>175560</v>
      </c>
      <c r="R170" s="159">
        <v>27300</v>
      </c>
      <c r="S170" s="159">
        <v>78</v>
      </c>
      <c r="T170" s="159">
        <v>175560</v>
      </c>
      <c r="U170" s="159">
        <f t="shared" si="2"/>
        <v>140448</v>
      </c>
    </row>
    <row r="171" spans="1:21" x14ac:dyDescent="0.25">
      <c r="A171" s="159" t="s">
        <v>191</v>
      </c>
      <c r="B171" s="158" t="s">
        <v>616</v>
      </c>
      <c r="C171" s="159" t="s">
        <v>932</v>
      </c>
      <c r="D171" s="159">
        <v>40</v>
      </c>
      <c r="E171" s="142">
        <v>160</v>
      </c>
      <c r="F171" s="159">
        <v>64000</v>
      </c>
      <c r="G171" s="159">
        <v>40</v>
      </c>
      <c r="H171" s="159">
        <v>192</v>
      </c>
      <c r="I171" s="159">
        <v>96960</v>
      </c>
      <c r="J171" s="159">
        <v>4</v>
      </c>
      <c r="K171" s="159">
        <v>20</v>
      </c>
      <c r="L171" s="142">
        <v>4000</v>
      </c>
      <c r="M171" s="159">
        <v>4</v>
      </c>
      <c r="N171" s="159">
        <v>20</v>
      </c>
      <c r="O171" s="143">
        <v>4000</v>
      </c>
      <c r="P171" s="159">
        <v>88</v>
      </c>
      <c r="Q171" s="143">
        <v>199760</v>
      </c>
      <c r="R171" s="159">
        <v>30800</v>
      </c>
      <c r="S171" s="159">
        <v>88</v>
      </c>
      <c r="T171" s="159">
        <v>199760</v>
      </c>
      <c r="U171" s="159">
        <f t="shared" si="2"/>
        <v>159808</v>
      </c>
    </row>
    <row r="172" spans="1:21" x14ac:dyDescent="0.25">
      <c r="A172" s="159" t="s">
        <v>192</v>
      </c>
      <c r="B172" s="158" t="s">
        <v>1147</v>
      </c>
      <c r="C172" s="159" t="s">
        <v>933</v>
      </c>
      <c r="D172" s="159">
        <v>16</v>
      </c>
      <c r="E172" s="142">
        <v>72</v>
      </c>
      <c r="F172" s="159">
        <v>28800</v>
      </c>
      <c r="G172" s="159">
        <v>65</v>
      </c>
      <c r="H172" s="159">
        <v>292</v>
      </c>
      <c r="I172" s="159">
        <v>147460</v>
      </c>
      <c r="J172" s="159">
        <v>5</v>
      </c>
      <c r="K172" s="159">
        <v>35</v>
      </c>
      <c r="L172" s="142">
        <v>7000</v>
      </c>
      <c r="M172" s="159">
        <v>10</v>
      </c>
      <c r="N172" s="159">
        <v>70</v>
      </c>
      <c r="O172" s="143">
        <v>14000</v>
      </c>
      <c r="P172" s="159">
        <v>96</v>
      </c>
      <c r="Q172" s="143">
        <v>230860</v>
      </c>
      <c r="R172" s="159">
        <v>33600</v>
      </c>
      <c r="S172" s="159">
        <v>96</v>
      </c>
      <c r="T172" s="159">
        <v>230860</v>
      </c>
      <c r="U172" s="159">
        <f t="shared" si="2"/>
        <v>184688</v>
      </c>
    </row>
    <row r="173" spans="1:21" x14ac:dyDescent="0.25">
      <c r="A173" s="159" t="s">
        <v>193</v>
      </c>
      <c r="B173" s="158" t="s">
        <v>617</v>
      </c>
      <c r="C173" s="159" t="s">
        <v>934</v>
      </c>
      <c r="D173" s="159">
        <v>38</v>
      </c>
      <c r="E173" s="142">
        <v>180</v>
      </c>
      <c r="F173" s="159">
        <v>72000</v>
      </c>
      <c r="G173" s="159">
        <v>0</v>
      </c>
      <c r="H173" s="159">
        <v>0</v>
      </c>
      <c r="I173" s="159">
        <v>0</v>
      </c>
      <c r="J173" s="159">
        <v>8</v>
      </c>
      <c r="K173" s="159">
        <v>40</v>
      </c>
      <c r="L173" s="142">
        <v>8000</v>
      </c>
      <c r="M173" s="159">
        <v>8</v>
      </c>
      <c r="N173" s="159">
        <v>40</v>
      </c>
      <c r="O173" s="143">
        <v>8000</v>
      </c>
      <c r="P173" s="159">
        <v>54</v>
      </c>
      <c r="Q173" s="143">
        <v>106900</v>
      </c>
      <c r="R173" s="159">
        <v>18900</v>
      </c>
      <c r="S173" s="159">
        <v>54</v>
      </c>
      <c r="T173" s="159">
        <v>106900</v>
      </c>
      <c r="U173" s="159">
        <f t="shared" si="2"/>
        <v>85520</v>
      </c>
    </row>
    <row r="174" spans="1:21" x14ac:dyDescent="0.25">
      <c r="A174" s="159" t="s">
        <v>194</v>
      </c>
      <c r="B174" s="158" t="s">
        <v>617</v>
      </c>
      <c r="C174" s="159" t="s">
        <v>935</v>
      </c>
      <c r="D174" s="159">
        <v>0</v>
      </c>
      <c r="E174" s="142">
        <v>0</v>
      </c>
      <c r="F174" s="159">
        <v>0</v>
      </c>
      <c r="G174" s="159">
        <v>165</v>
      </c>
      <c r="H174" s="159">
        <v>766</v>
      </c>
      <c r="I174" s="159">
        <v>386830</v>
      </c>
      <c r="J174" s="159">
        <v>0</v>
      </c>
      <c r="K174" s="159">
        <v>0</v>
      </c>
      <c r="L174" s="142">
        <v>0</v>
      </c>
      <c r="M174" s="159">
        <v>0</v>
      </c>
      <c r="N174" s="159">
        <v>0</v>
      </c>
      <c r="O174" s="143">
        <v>0</v>
      </c>
      <c r="P174" s="159">
        <v>165</v>
      </c>
      <c r="Q174" s="143">
        <v>434830</v>
      </c>
      <c r="R174" s="159">
        <v>48000</v>
      </c>
      <c r="S174" s="159">
        <v>165</v>
      </c>
      <c r="T174" s="159">
        <v>434830</v>
      </c>
      <c r="U174" s="159">
        <f t="shared" si="2"/>
        <v>347864</v>
      </c>
    </row>
    <row r="175" spans="1:21" x14ac:dyDescent="0.25">
      <c r="A175" s="159" t="s">
        <v>195</v>
      </c>
      <c r="B175" s="158" t="s">
        <v>618</v>
      </c>
      <c r="C175" s="159" t="s">
        <v>936</v>
      </c>
      <c r="D175" s="159">
        <v>75</v>
      </c>
      <c r="E175" s="142">
        <v>338</v>
      </c>
      <c r="F175" s="159">
        <v>135200</v>
      </c>
      <c r="G175" s="159">
        <v>70</v>
      </c>
      <c r="H175" s="159">
        <v>336</v>
      </c>
      <c r="I175" s="159">
        <v>169680</v>
      </c>
      <c r="J175" s="159">
        <v>4</v>
      </c>
      <c r="K175" s="159">
        <v>20</v>
      </c>
      <c r="L175" s="142">
        <v>4000</v>
      </c>
      <c r="M175" s="159">
        <v>6</v>
      </c>
      <c r="N175" s="159">
        <v>30</v>
      </c>
      <c r="O175" s="143">
        <v>6000</v>
      </c>
      <c r="P175" s="159">
        <v>155</v>
      </c>
      <c r="Q175" s="143">
        <v>360880</v>
      </c>
      <c r="R175" s="159">
        <v>46000</v>
      </c>
      <c r="S175" s="159">
        <v>155</v>
      </c>
      <c r="T175" s="159">
        <v>360880</v>
      </c>
      <c r="U175" s="159">
        <f t="shared" si="2"/>
        <v>288704</v>
      </c>
    </row>
    <row r="176" spans="1:21" x14ac:dyDescent="0.25">
      <c r="A176" s="159" t="s">
        <v>196</v>
      </c>
      <c r="B176" s="158" t="s">
        <v>619</v>
      </c>
      <c r="C176" s="159" t="s">
        <v>937</v>
      </c>
      <c r="D176" s="159">
        <v>30</v>
      </c>
      <c r="E176" s="142">
        <v>174</v>
      </c>
      <c r="F176" s="159">
        <v>69600</v>
      </c>
      <c r="G176" s="159">
        <v>55</v>
      </c>
      <c r="H176" s="159">
        <v>233</v>
      </c>
      <c r="I176" s="159">
        <v>117665</v>
      </c>
      <c r="J176" s="159">
        <v>6</v>
      </c>
      <c r="K176" s="159">
        <v>42</v>
      </c>
      <c r="L176" s="142">
        <v>8400</v>
      </c>
      <c r="M176" s="159">
        <v>10</v>
      </c>
      <c r="N176" s="159">
        <v>160</v>
      </c>
      <c r="O176" s="143">
        <v>32000</v>
      </c>
      <c r="P176" s="159">
        <v>101</v>
      </c>
      <c r="Q176" s="143">
        <v>262865</v>
      </c>
      <c r="R176" s="159">
        <v>35200</v>
      </c>
      <c r="S176" s="159">
        <v>101</v>
      </c>
      <c r="T176" s="159">
        <v>262865</v>
      </c>
      <c r="U176" s="159">
        <f t="shared" si="2"/>
        <v>210292</v>
      </c>
    </row>
    <row r="177" spans="1:21" x14ac:dyDescent="0.25">
      <c r="A177" s="159" t="s">
        <v>939</v>
      </c>
      <c r="B177" s="158" t="s">
        <v>1129</v>
      </c>
      <c r="C177" s="159" t="s">
        <v>938</v>
      </c>
      <c r="D177" s="159">
        <v>15</v>
      </c>
      <c r="E177" s="142">
        <v>48</v>
      </c>
      <c r="F177" s="159">
        <v>19200</v>
      </c>
      <c r="G177" s="159">
        <v>4</v>
      </c>
      <c r="H177" s="159">
        <v>19</v>
      </c>
      <c r="I177" s="159">
        <v>9595</v>
      </c>
      <c r="J177" s="159">
        <v>2</v>
      </c>
      <c r="K177" s="159">
        <v>6</v>
      </c>
      <c r="L177" s="142">
        <v>1200</v>
      </c>
      <c r="M177" s="159">
        <v>3</v>
      </c>
      <c r="N177" s="159">
        <v>6</v>
      </c>
      <c r="O177" s="143">
        <v>1200</v>
      </c>
      <c r="P177" s="159">
        <v>24</v>
      </c>
      <c r="Q177" s="143">
        <v>39595</v>
      </c>
      <c r="R177" s="159">
        <v>8400</v>
      </c>
      <c r="S177" s="159">
        <v>24</v>
      </c>
      <c r="T177" s="159">
        <v>39595</v>
      </c>
      <c r="U177" s="159">
        <f t="shared" si="2"/>
        <v>31676</v>
      </c>
    </row>
    <row r="178" spans="1:21" x14ac:dyDescent="0.25">
      <c r="A178" s="159" t="s">
        <v>197</v>
      </c>
      <c r="B178" s="158" t="s">
        <v>620</v>
      </c>
      <c r="C178" s="159" t="s">
        <v>940</v>
      </c>
      <c r="D178" s="159">
        <v>250</v>
      </c>
      <c r="E178" s="142">
        <v>1450</v>
      </c>
      <c r="F178" s="159">
        <v>580000</v>
      </c>
      <c r="G178" s="159">
        <v>0</v>
      </c>
      <c r="H178" s="159">
        <v>0</v>
      </c>
      <c r="I178" s="159">
        <v>0</v>
      </c>
      <c r="J178" s="159">
        <v>12</v>
      </c>
      <c r="K178" s="159">
        <v>72</v>
      </c>
      <c r="L178" s="142">
        <v>14400</v>
      </c>
      <c r="M178" s="159">
        <v>12</v>
      </c>
      <c r="N178" s="159">
        <v>84</v>
      </c>
      <c r="O178" s="143">
        <v>16800</v>
      </c>
      <c r="P178" s="159">
        <v>274</v>
      </c>
      <c r="Q178" s="143">
        <v>681000</v>
      </c>
      <c r="R178" s="159">
        <v>69800</v>
      </c>
      <c r="S178" s="159">
        <v>274</v>
      </c>
      <c r="T178" s="159">
        <v>681000</v>
      </c>
      <c r="U178" s="159">
        <f t="shared" si="2"/>
        <v>544800</v>
      </c>
    </row>
    <row r="179" spans="1:21" x14ac:dyDescent="0.25">
      <c r="A179" s="159" t="s">
        <v>198</v>
      </c>
      <c r="B179" s="158" t="s">
        <v>621</v>
      </c>
      <c r="C179" s="159" t="s">
        <v>941</v>
      </c>
      <c r="D179" s="159">
        <v>16</v>
      </c>
      <c r="E179" s="142">
        <v>93</v>
      </c>
      <c r="F179" s="159">
        <v>37200</v>
      </c>
      <c r="G179" s="159">
        <v>0</v>
      </c>
      <c r="H179" s="159">
        <v>0</v>
      </c>
      <c r="I179" s="159">
        <v>0</v>
      </c>
      <c r="J179" s="159">
        <v>6</v>
      </c>
      <c r="K179" s="159">
        <v>30</v>
      </c>
      <c r="L179" s="142">
        <v>6000</v>
      </c>
      <c r="M179" s="159">
        <v>3</v>
      </c>
      <c r="N179" s="159">
        <v>18</v>
      </c>
      <c r="O179" s="143">
        <v>3600</v>
      </c>
      <c r="P179" s="159">
        <v>25</v>
      </c>
      <c r="Q179" s="143">
        <v>55550</v>
      </c>
      <c r="R179" s="159">
        <v>8750</v>
      </c>
      <c r="S179" s="159">
        <v>25</v>
      </c>
      <c r="T179" s="159">
        <v>55550</v>
      </c>
      <c r="U179" s="159">
        <f t="shared" si="2"/>
        <v>44440</v>
      </c>
    </row>
    <row r="180" spans="1:21" x14ac:dyDescent="0.25">
      <c r="A180" s="159" t="s">
        <v>199</v>
      </c>
      <c r="B180" s="158" t="s">
        <v>622</v>
      </c>
      <c r="C180" s="159" t="s">
        <v>942</v>
      </c>
      <c r="D180" s="159">
        <v>108</v>
      </c>
      <c r="E180" s="142">
        <v>626</v>
      </c>
      <c r="F180" s="159">
        <v>250400</v>
      </c>
      <c r="G180" s="159">
        <v>0</v>
      </c>
      <c r="H180" s="159">
        <v>0</v>
      </c>
      <c r="I180" s="159">
        <v>0</v>
      </c>
      <c r="J180" s="159">
        <v>4</v>
      </c>
      <c r="K180" s="159">
        <v>20</v>
      </c>
      <c r="L180" s="142">
        <v>4000</v>
      </c>
      <c r="M180" s="159">
        <v>2</v>
      </c>
      <c r="N180" s="159">
        <v>10</v>
      </c>
      <c r="O180" s="143">
        <v>2000</v>
      </c>
      <c r="P180" s="159">
        <v>114</v>
      </c>
      <c r="Q180" s="143">
        <v>294200</v>
      </c>
      <c r="R180" s="159">
        <v>37800</v>
      </c>
      <c r="S180" s="159">
        <v>114</v>
      </c>
      <c r="T180" s="159">
        <v>294200</v>
      </c>
      <c r="U180" s="159">
        <f t="shared" si="2"/>
        <v>235360</v>
      </c>
    </row>
    <row r="181" spans="1:21" s="141" customFormat="1" x14ac:dyDescent="0.25">
      <c r="A181" s="159" t="s">
        <v>200</v>
      </c>
      <c r="B181" s="158" t="s">
        <v>623</v>
      </c>
      <c r="C181" s="159" t="s">
        <v>943</v>
      </c>
      <c r="D181" s="159">
        <v>24</v>
      </c>
      <c r="E181" s="142">
        <v>130</v>
      </c>
      <c r="F181" s="159">
        <v>52000</v>
      </c>
      <c r="G181" s="159">
        <v>0</v>
      </c>
      <c r="H181" s="159">
        <v>0</v>
      </c>
      <c r="I181" s="159">
        <v>0</v>
      </c>
      <c r="J181" s="159">
        <v>15</v>
      </c>
      <c r="K181" s="159">
        <v>56</v>
      </c>
      <c r="L181" s="142">
        <v>11200</v>
      </c>
      <c r="M181" s="159">
        <v>6</v>
      </c>
      <c r="N181" s="159">
        <v>19</v>
      </c>
      <c r="O181" s="143">
        <v>3800</v>
      </c>
      <c r="P181" s="159">
        <v>45</v>
      </c>
      <c r="Q181" s="143">
        <v>82750</v>
      </c>
      <c r="R181" s="159">
        <v>15750</v>
      </c>
      <c r="S181" s="159">
        <v>45</v>
      </c>
      <c r="T181" s="159">
        <v>82750</v>
      </c>
      <c r="U181" s="159">
        <f t="shared" si="2"/>
        <v>66200</v>
      </c>
    </row>
    <row r="182" spans="1:21" x14ac:dyDescent="0.25">
      <c r="A182" s="159" t="s">
        <v>201</v>
      </c>
      <c r="B182" s="158" t="s">
        <v>624</v>
      </c>
      <c r="C182" s="159" t="s">
        <v>944</v>
      </c>
      <c r="D182" s="159">
        <v>434</v>
      </c>
      <c r="E182" s="142">
        <v>2517</v>
      </c>
      <c r="F182" s="159">
        <v>1006800</v>
      </c>
      <c r="G182" s="159">
        <v>0</v>
      </c>
      <c r="H182" s="159">
        <v>0</v>
      </c>
      <c r="I182" s="159">
        <v>0</v>
      </c>
      <c r="J182" s="159">
        <v>11</v>
      </c>
      <c r="K182" s="159">
        <v>44</v>
      </c>
      <c r="L182" s="142">
        <v>8800</v>
      </c>
      <c r="M182" s="159">
        <v>20</v>
      </c>
      <c r="N182" s="159">
        <v>80</v>
      </c>
      <c r="O182" s="143">
        <v>16000</v>
      </c>
      <c r="P182" s="159">
        <v>465</v>
      </c>
      <c r="Q182" s="143">
        <v>1139600</v>
      </c>
      <c r="R182" s="159">
        <v>108000</v>
      </c>
      <c r="S182" s="159">
        <v>465</v>
      </c>
      <c r="T182" s="159">
        <v>1139600</v>
      </c>
      <c r="U182" s="159">
        <f t="shared" si="2"/>
        <v>911680</v>
      </c>
    </row>
    <row r="183" spans="1:21" x14ac:dyDescent="0.25">
      <c r="A183" s="159" t="s">
        <v>202</v>
      </c>
      <c r="B183" s="158" t="s">
        <v>625</v>
      </c>
      <c r="C183" s="159" t="s">
        <v>945</v>
      </c>
      <c r="D183" s="159">
        <v>30</v>
      </c>
      <c r="E183" s="142">
        <v>130</v>
      </c>
      <c r="F183" s="159">
        <v>52000</v>
      </c>
      <c r="G183" s="159">
        <v>40</v>
      </c>
      <c r="H183" s="159">
        <v>160</v>
      </c>
      <c r="I183" s="159">
        <v>80800</v>
      </c>
      <c r="J183" s="159">
        <v>8</v>
      </c>
      <c r="K183" s="159">
        <v>56</v>
      </c>
      <c r="L183" s="142">
        <v>11200</v>
      </c>
      <c r="M183" s="159">
        <v>5</v>
      </c>
      <c r="N183" s="159">
        <v>35</v>
      </c>
      <c r="O183" s="143">
        <v>7000</v>
      </c>
      <c r="P183" s="159">
        <v>83</v>
      </c>
      <c r="Q183" s="143">
        <v>180050</v>
      </c>
      <c r="R183" s="159">
        <v>29050</v>
      </c>
      <c r="S183" s="159">
        <v>83</v>
      </c>
      <c r="T183" s="159">
        <v>180050</v>
      </c>
      <c r="U183" s="159">
        <f t="shared" si="2"/>
        <v>144040</v>
      </c>
    </row>
    <row r="184" spans="1:21" x14ac:dyDescent="0.25">
      <c r="A184" s="159" t="s">
        <v>203</v>
      </c>
      <c r="B184" s="158" t="s">
        <v>626</v>
      </c>
      <c r="C184" s="159" t="s">
        <v>946</v>
      </c>
      <c r="D184" s="159">
        <v>7</v>
      </c>
      <c r="E184" s="142">
        <v>35</v>
      </c>
      <c r="F184" s="159">
        <v>14000</v>
      </c>
      <c r="G184" s="159">
        <v>1</v>
      </c>
      <c r="H184" s="159">
        <v>5</v>
      </c>
      <c r="I184" s="159">
        <v>2525</v>
      </c>
      <c r="J184" s="159">
        <v>8</v>
      </c>
      <c r="K184" s="159">
        <v>53</v>
      </c>
      <c r="L184" s="142">
        <v>10600</v>
      </c>
      <c r="M184" s="159">
        <v>0</v>
      </c>
      <c r="N184" s="159">
        <v>0</v>
      </c>
      <c r="O184" s="143">
        <v>0</v>
      </c>
      <c r="P184" s="159">
        <v>16</v>
      </c>
      <c r="Q184" s="143">
        <v>32725</v>
      </c>
      <c r="R184" s="159">
        <v>5600</v>
      </c>
      <c r="S184" s="159">
        <v>16</v>
      </c>
      <c r="T184" s="159">
        <v>32725</v>
      </c>
      <c r="U184" s="159">
        <f t="shared" si="2"/>
        <v>26180</v>
      </c>
    </row>
    <row r="185" spans="1:21" x14ac:dyDescent="0.25">
      <c r="A185" s="159" t="s">
        <v>204</v>
      </c>
      <c r="B185" s="158" t="s">
        <v>627</v>
      </c>
      <c r="C185" s="159" t="s">
        <v>947</v>
      </c>
      <c r="D185" s="159">
        <v>48</v>
      </c>
      <c r="E185" s="142">
        <v>231</v>
      </c>
      <c r="F185" s="159">
        <v>92400</v>
      </c>
      <c r="G185" s="159">
        <v>0</v>
      </c>
      <c r="H185" s="159">
        <v>0</v>
      </c>
      <c r="I185" s="159">
        <v>0</v>
      </c>
      <c r="J185" s="159">
        <v>10</v>
      </c>
      <c r="K185" s="159">
        <v>50</v>
      </c>
      <c r="L185" s="142">
        <v>10000</v>
      </c>
      <c r="M185" s="159">
        <v>2</v>
      </c>
      <c r="N185" s="159">
        <v>10</v>
      </c>
      <c r="O185" s="143">
        <v>2000</v>
      </c>
      <c r="P185" s="159">
        <v>60</v>
      </c>
      <c r="Q185" s="143">
        <v>125400</v>
      </c>
      <c r="R185" s="159">
        <v>21000</v>
      </c>
      <c r="S185" s="159">
        <v>60</v>
      </c>
      <c r="T185" s="159">
        <v>125400</v>
      </c>
      <c r="U185" s="159">
        <f t="shared" si="2"/>
        <v>100320</v>
      </c>
    </row>
    <row r="186" spans="1:21" x14ac:dyDescent="0.25">
      <c r="A186" s="159" t="s">
        <v>205</v>
      </c>
      <c r="B186" s="158" t="s">
        <v>627</v>
      </c>
      <c r="C186" s="159" t="s">
        <v>948</v>
      </c>
      <c r="D186" s="159">
        <v>260</v>
      </c>
      <c r="E186" s="142">
        <v>1508</v>
      </c>
      <c r="F186" s="159">
        <v>603200</v>
      </c>
      <c r="G186" s="159">
        <v>1200</v>
      </c>
      <c r="H186" s="159">
        <v>5760</v>
      </c>
      <c r="I186" s="159">
        <v>2908800</v>
      </c>
      <c r="J186" s="159">
        <v>30</v>
      </c>
      <c r="K186" s="159">
        <v>90</v>
      </c>
      <c r="L186" s="142">
        <v>18000</v>
      </c>
      <c r="M186" s="159">
        <v>10</v>
      </c>
      <c r="N186" s="159">
        <v>30</v>
      </c>
      <c r="O186" s="143">
        <v>6000</v>
      </c>
      <c r="P186" s="159">
        <v>1500</v>
      </c>
      <c r="Q186" s="143">
        <v>3851000</v>
      </c>
      <c r="R186" s="159">
        <v>315000</v>
      </c>
      <c r="S186" s="159">
        <v>1500</v>
      </c>
      <c r="T186" s="159">
        <v>3851000</v>
      </c>
      <c r="U186" s="159">
        <f t="shared" si="2"/>
        <v>3080800</v>
      </c>
    </row>
    <row r="187" spans="1:21" x14ac:dyDescent="0.25">
      <c r="A187" s="159" t="s">
        <v>386</v>
      </c>
      <c r="B187" s="158" t="s">
        <v>469</v>
      </c>
      <c r="C187" s="159" t="s">
        <v>949</v>
      </c>
      <c r="D187" s="159">
        <v>12</v>
      </c>
      <c r="E187" s="142">
        <v>48</v>
      </c>
      <c r="F187" s="159">
        <v>19200</v>
      </c>
      <c r="G187" s="159">
        <v>4</v>
      </c>
      <c r="H187" s="159">
        <v>8</v>
      </c>
      <c r="I187" s="159">
        <v>4040</v>
      </c>
      <c r="J187" s="159">
        <v>1</v>
      </c>
      <c r="K187" s="159">
        <v>5</v>
      </c>
      <c r="L187" s="142">
        <v>1000</v>
      </c>
      <c r="M187" s="159">
        <v>2</v>
      </c>
      <c r="N187" s="159">
        <v>10</v>
      </c>
      <c r="O187" s="143">
        <v>2000</v>
      </c>
      <c r="P187" s="159">
        <v>19</v>
      </c>
      <c r="Q187" s="143">
        <v>32890</v>
      </c>
      <c r="R187" s="159">
        <v>6650</v>
      </c>
      <c r="S187" s="159">
        <v>19</v>
      </c>
      <c r="T187" s="159">
        <v>32890</v>
      </c>
      <c r="U187" s="159">
        <f t="shared" si="2"/>
        <v>26312</v>
      </c>
    </row>
    <row r="188" spans="1:21" x14ac:dyDescent="0.25">
      <c r="A188" s="159" t="s">
        <v>206</v>
      </c>
      <c r="B188" s="158" t="s">
        <v>470</v>
      </c>
      <c r="C188" s="159" t="s">
        <v>950</v>
      </c>
      <c r="D188" s="159">
        <v>60</v>
      </c>
      <c r="E188" s="142">
        <v>288</v>
      </c>
      <c r="F188" s="159">
        <v>115200</v>
      </c>
      <c r="G188" s="159">
        <v>8</v>
      </c>
      <c r="H188" s="159">
        <v>24</v>
      </c>
      <c r="I188" s="159">
        <v>12120</v>
      </c>
      <c r="J188" s="159">
        <v>3</v>
      </c>
      <c r="K188" s="159">
        <v>17</v>
      </c>
      <c r="L188" s="142">
        <v>3400</v>
      </c>
      <c r="M188" s="159">
        <v>4</v>
      </c>
      <c r="N188" s="159">
        <v>20</v>
      </c>
      <c r="O188" s="143">
        <v>4000</v>
      </c>
      <c r="P188" s="159">
        <v>75</v>
      </c>
      <c r="Q188" s="143">
        <v>160970</v>
      </c>
      <c r="R188" s="159">
        <v>26250</v>
      </c>
      <c r="S188" s="159">
        <v>75</v>
      </c>
      <c r="T188" s="159">
        <v>160970</v>
      </c>
      <c r="U188" s="159">
        <f t="shared" si="2"/>
        <v>128776</v>
      </c>
    </row>
    <row r="189" spans="1:21" x14ac:dyDescent="0.25">
      <c r="A189" s="159" t="s">
        <v>207</v>
      </c>
      <c r="B189" s="158" t="s">
        <v>628</v>
      </c>
      <c r="C189" s="159" t="s">
        <v>951</v>
      </c>
      <c r="D189" s="159">
        <v>177</v>
      </c>
      <c r="E189" s="142">
        <v>843</v>
      </c>
      <c r="F189" s="159">
        <v>337200</v>
      </c>
      <c r="G189" s="159">
        <v>55</v>
      </c>
      <c r="H189" s="159">
        <v>250</v>
      </c>
      <c r="I189" s="159">
        <v>126250</v>
      </c>
      <c r="J189" s="159">
        <v>29</v>
      </c>
      <c r="K189" s="159">
        <v>145</v>
      </c>
      <c r="L189" s="142">
        <v>29000</v>
      </c>
      <c r="M189" s="159">
        <v>60</v>
      </c>
      <c r="N189" s="159">
        <v>300</v>
      </c>
      <c r="O189" s="143">
        <v>60000</v>
      </c>
      <c r="P189" s="159">
        <v>321</v>
      </c>
      <c r="Q189" s="143">
        <v>631650</v>
      </c>
      <c r="R189" s="159">
        <v>79200</v>
      </c>
      <c r="S189" s="159">
        <v>321</v>
      </c>
      <c r="T189" s="159">
        <v>631650</v>
      </c>
      <c r="U189" s="159">
        <f t="shared" si="2"/>
        <v>505320</v>
      </c>
    </row>
    <row r="190" spans="1:21" x14ac:dyDescent="0.25">
      <c r="A190" s="159" t="s">
        <v>471</v>
      </c>
      <c r="B190" s="158" t="s">
        <v>629</v>
      </c>
      <c r="C190" s="159" t="s">
        <v>952</v>
      </c>
      <c r="D190" s="159">
        <v>4</v>
      </c>
      <c r="E190" s="142">
        <v>23</v>
      </c>
      <c r="F190" s="159">
        <v>9200</v>
      </c>
      <c r="G190" s="159">
        <v>11</v>
      </c>
      <c r="H190" s="159">
        <v>53</v>
      </c>
      <c r="I190" s="159">
        <v>26765</v>
      </c>
      <c r="J190" s="159">
        <v>6</v>
      </c>
      <c r="K190" s="159">
        <v>20</v>
      </c>
      <c r="L190" s="142">
        <v>4000</v>
      </c>
      <c r="M190" s="159">
        <v>15</v>
      </c>
      <c r="N190" s="159">
        <v>75</v>
      </c>
      <c r="O190" s="143">
        <v>15000</v>
      </c>
      <c r="P190" s="159">
        <v>36</v>
      </c>
      <c r="Q190" s="143">
        <v>67565</v>
      </c>
      <c r="R190" s="159">
        <v>12600</v>
      </c>
      <c r="S190" s="159">
        <v>36</v>
      </c>
      <c r="T190" s="159">
        <v>67565</v>
      </c>
      <c r="U190" s="159">
        <f t="shared" si="2"/>
        <v>54052</v>
      </c>
    </row>
    <row r="191" spans="1:21" x14ac:dyDescent="0.25">
      <c r="A191" s="159" t="s">
        <v>208</v>
      </c>
      <c r="B191" s="158" t="s">
        <v>472</v>
      </c>
      <c r="C191" s="159" t="s">
        <v>953</v>
      </c>
      <c r="D191" s="159">
        <v>0</v>
      </c>
      <c r="E191" s="142">
        <v>0</v>
      </c>
      <c r="F191" s="159">
        <v>0</v>
      </c>
      <c r="G191" s="159">
        <v>70</v>
      </c>
      <c r="H191" s="159">
        <v>230</v>
      </c>
      <c r="I191" s="159">
        <v>116150</v>
      </c>
      <c r="J191" s="159">
        <v>3</v>
      </c>
      <c r="K191" s="159">
        <v>21</v>
      </c>
      <c r="L191" s="142">
        <v>4200</v>
      </c>
      <c r="M191" s="159">
        <v>6</v>
      </c>
      <c r="N191" s="159">
        <v>42</v>
      </c>
      <c r="O191" s="143">
        <v>8400</v>
      </c>
      <c r="P191" s="159">
        <v>79</v>
      </c>
      <c r="Q191" s="143">
        <v>156400</v>
      </c>
      <c r="R191" s="159">
        <v>27650</v>
      </c>
      <c r="S191" s="159">
        <v>79</v>
      </c>
      <c r="T191" s="159">
        <v>156400</v>
      </c>
      <c r="U191" s="159">
        <f t="shared" si="2"/>
        <v>125120</v>
      </c>
    </row>
    <row r="192" spans="1:21" x14ac:dyDescent="0.25">
      <c r="A192" s="159" t="s">
        <v>209</v>
      </c>
      <c r="B192" s="158" t="s">
        <v>630</v>
      </c>
      <c r="C192" s="159" t="s">
        <v>954</v>
      </c>
      <c r="D192" s="159">
        <v>67</v>
      </c>
      <c r="E192" s="142">
        <v>285</v>
      </c>
      <c r="F192" s="159">
        <v>114000</v>
      </c>
      <c r="G192" s="159">
        <v>22</v>
      </c>
      <c r="H192" s="159">
        <v>106</v>
      </c>
      <c r="I192" s="159">
        <v>53530</v>
      </c>
      <c r="J192" s="159">
        <v>9</v>
      </c>
      <c r="K192" s="159">
        <v>45</v>
      </c>
      <c r="L192" s="142">
        <v>9000</v>
      </c>
      <c r="M192" s="159">
        <v>2</v>
      </c>
      <c r="N192" s="159">
        <v>15</v>
      </c>
      <c r="O192" s="143">
        <v>3000</v>
      </c>
      <c r="P192" s="159">
        <v>100</v>
      </c>
      <c r="Q192" s="143">
        <v>214530</v>
      </c>
      <c r="R192" s="159">
        <v>35000</v>
      </c>
      <c r="S192" s="159">
        <v>100</v>
      </c>
      <c r="T192" s="159">
        <v>214530</v>
      </c>
      <c r="U192" s="159">
        <f t="shared" si="2"/>
        <v>171624</v>
      </c>
    </row>
    <row r="193" spans="1:21" x14ac:dyDescent="0.25">
      <c r="A193" s="159" t="s">
        <v>210</v>
      </c>
      <c r="B193" s="158" t="s">
        <v>631</v>
      </c>
      <c r="C193" s="159" t="s">
        <v>955</v>
      </c>
      <c r="D193" s="159">
        <v>0</v>
      </c>
      <c r="E193" s="142">
        <v>0</v>
      </c>
      <c r="F193" s="159">
        <v>0</v>
      </c>
      <c r="G193" s="159">
        <v>4</v>
      </c>
      <c r="H193" s="159">
        <v>19</v>
      </c>
      <c r="I193" s="159">
        <v>9595</v>
      </c>
      <c r="J193" s="159">
        <v>1</v>
      </c>
      <c r="K193" s="159">
        <v>5</v>
      </c>
      <c r="L193" s="142">
        <v>1000</v>
      </c>
      <c r="M193" s="159">
        <v>0</v>
      </c>
      <c r="N193" s="159">
        <v>0</v>
      </c>
      <c r="O193" s="143">
        <v>0</v>
      </c>
      <c r="P193" s="159">
        <v>5</v>
      </c>
      <c r="Q193" s="143">
        <v>12345</v>
      </c>
      <c r="R193" s="159">
        <v>1750</v>
      </c>
      <c r="S193" s="159">
        <v>5</v>
      </c>
      <c r="T193" s="159">
        <v>12345</v>
      </c>
      <c r="U193" s="159">
        <f t="shared" si="2"/>
        <v>9876</v>
      </c>
    </row>
    <row r="194" spans="1:21" x14ac:dyDescent="0.25">
      <c r="A194" s="159" t="s">
        <v>211</v>
      </c>
      <c r="B194" s="158" t="s">
        <v>632</v>
      </c>
      <c r="C194" s="159" t="s">
        <v>956</v>
      </c>
      <c r="D194" s="159">
        <v>311</v>
      </c>
      <c r="E194" s="142">
        <v>1711</v>
      </c>
      <c r="F194" s="159">
        <v>684400</v>
      </c>
      <c r="G194" s="159">
        <v>80</v>
      </c>
      <c r="H194" s="159">
        <v>280</v>
      </c>
      <c r="I194" s="159">
        <v>141400</v>
      </c>
      <c r="J194" s="159">
        <v>25</v>
      </c>
      <c r="K194" s="159">
        <v>150</v>
      </c>
      <c r="L194" s="142">
        <v>30000</v>
      </c>
      <c r="M194" s="159">
        <v>43</v>
      </c>
      <c r="N194" s="159">
        <v>215</v>
      </c>
      <c r="O194" s="143">
        <v>43000</v>
      </c>
      <c r="P194" s="159">
        <v>459</v>
      </c>
      <c r="Q194" s="143">
        <v>1005600</v>
      </c>
      <c r="R194" s="159">
        <v>106800</v>
      </c>
      <c r="S194" s="159">
        <v>459</v>
      </c>
      <c r="T194" s="159">
        <v>1005600</v>
      </c>
      <c r="U194" s="159">
        <f t="shared" si="2"/>
        <v>804480</v>
      </c>
    </row>
    <row r="195" spans="1:21" x14ac:dyDescent="0.25">
      <c r="A195" s="159" t="s">
        <v>212</v>
      </c>
      <c r="B195" s="158" t="s">
        <v>633</v>
      </c>
      <c r="C195" s="159" t="s">
        <v>957</v>
      </c>
      <c r="D195" s="159">
        <v>99</v>
      </c>
      <c r="E195" s="142">
        <v>495</v>
      </c>
      <c r="F195" s="159">
        <v>198000</v>
      </c>
      <c r="G195" s="159">
        <v>8</v>
      </c>
      <c r="H195" s="159">
        <v>38</v>
      </c>
      <c r="I195" s="159">
        <v>19190</v>
      </c>
      <c r="J195" s="159">
        <v>10</v>
      </c>
      <c r="K195" s="159">
        <v>50</v>
      </c>
      <c r="L195" s="142">
        <v>10000</v>
      </c>
      <c r="M195" s="159">
        <v>6</v>
      </c>
      <c r="N195" s="159">
        <v>18</v>
      </c>
      <c r="O195" s="143">
        <v>3600</v>
      </c>
      <c r="P195" s="159">
        <v>123</v>
      </c>
      <c r="Q195" s="143">
        <v>270390</v>
      </c>
      <c r="R195" s="159">
        <v>39600</v>
      </c>
      <c r="S195" s="159">
        <v>123</v>
      </c>
      <c r="T195" s="159">
        <v>270390</v>
      </c>
      <c r="U195" s="159">
        <f t="shared" si="2"/>
        <v>216312</v>
      </c>
    </row>
    <row r="196" spans="1:21" x14ac:dyDescent="0.25">
      <c r="A196" s="159" t="s">
        <v>959</v>
      </c>
      <c r="B196" s="158" t="s">
        <v>1130</v>
      </c>
      <c r="C196" s="159" t="s">
        <v>958</v>
      </c>
      <c r="D196" s="159">
        <v>0</v>
      </c>
      <c r="E196" s="142">
        <v>0</v>
      </c>
      <c r="F196" s="159">
        <v>0</v>
      </c>
      <c r="G196" s="159">
        <v>0</v>
      </c>
      <c r="H196" s="159">
        <v>0</v>
      </c>
      <c r="I196" s="159">
        <v>0</v>
      </c>
      <c r="J196" s="159">
        <v>0</v>
      </c>
      <c r="K196" s="159">
        <v>0</v>
      </c>
      <c r="L196" s="142">
        <v>0</v>
      </c>
      <c r="M196" s="159">
        <v>6</v>
      </c>
      <c r="N196" s="159">
        <v>30</v>
      </c>
      <c r="O196" s="143">
        <v>6000</v>
      </c>
      <c r="P196" s="159">
        <v>6</v>
      </c>
      <c r="Q196" s="143">
        <v>8100</v>
      </c>
      <c r="R196" s="159">
        <v>2100</v>
      </c>
      <c r="S196" s="159">
        <v>6</v>
      </c>
      <c r="T196" s="159">
        <v>8100</v>
      </c>
      <c r="U196" s="159">
        <f t="shared" ref="U196:U259" si="3">T196*0.8</f>
        <v>6480</v>
      </c>
    </row>
    <row r="197" spans="1:21" x14ac:dyDescent="0.25">
      <c r="A197" s="159" t="s">
        <v>213</v>
      </c>
      <c r="B197" s="158" t="s">
        <v>634</v>
      </c>
      <c r="C197" s="159" t="s">
        <v>960</v>
      </c>
      <c r="D197" s="159">
        <v>31</v>
      </c>
      <c r="E197" s="142">
        <v>146</v>
      </c>
      <c r="F197" s="159">
        <v>58400</v>
      </c>
      <c r="G197" s="159">
        <v>4</v>
      </c>
      <c r="H197" s="159">
        <v>19</v>
      </c>
      <c r="I197" s="159">
        <v>9595</v>
      </c>
      <c r="J197" s="159">
        <v>3</v>
      </c>
      <c r="K197" s="159">
        <v>15</v>
      </c>
      <c r="L197" s="142">
        <v>3000</v>
      </c>
      <c r="M197" s="159">
        <v>2</v>
      </c>
      <c r="N197" s="159">
        <v>10</v>
      </c>
      <c r="O197" s="143">
        <v>2000</v>
      </c>
      <c r="P197" s="159">
        <v>40</v>
      </c>
      <c r="Q197" s="143">
        <v>86995</v>
      </c>
      <c r="R197" s="159">
        <v>14000</v>
      </c>
      <c r="S197" s="159">
        <v>40</v>
      </c>
      <c r="T197" s="159">
        <v>86995</v>
      </c>
      <c r="U197" s="159">
        <f t="shared" si="3"/>
        <v>69596</v>
      </c>
    </row>
    <row r="198" spans="1:21" x14ac:dyDescent="0.25">
      <c r="A198" s="159" t="s">
        <v>214</v>
      </c>
      <c r="B198" s="158" t="s">
        <v>635</v>
      </c>
      <c r="C198" s="159" t="s">
        <v>961</v>
      </c>
      <c r="D198" s="159">
        <v>72</v>
      </c>
      <c r="E198" s="142">
        <v>360</v>
      </c>
      <c r="F198" s="159">
        <v>144000</v>
      </c>
      <c r="G198" s="159">
        <v>25</v>
      </c>
      <c r="H198" s="159">
        <v>120</v>
      </c>
      <c r="I198" s="159">
        <v>60600</v>
      </c>
      <c r="J198" s="159">
        <v>5</v>
      </c>
      <c r="K198" s="159">
        <v>25</v>
      </c>
      <c r="L198" s="142">
        <v>5000</v>
      </c>
      <c r="M198" s="159">
        <v>6</v>
      </c>
      <c r="N198" s="159">
        <v>30</v>
      </c>
      <c r="O198" s="143">
        <v>6000</v>
      </c>
      <c r="P198" s="159">
        <v>108</v>
      </c>
      <c r="Q198" s="143">
        <v>252200</v>
      </c>
      <c r="R198" s="159">
        <v>36600</v>
      </c>
      <c r="S198" s="159">
        <v>108</v>
      </c>
      <c r="T198" s="159">
        <v>252200</v>
      </c>
      <c r="U198" s="159">
        <f t="shared" si="3"/>
        <v>201760</v>
      </c>
    </row>
    <row r="199" spans="1:21" x14ac:dyDescent="0.25">
      <c r="A199" s="159" t="s">
        <v>636</v>
      </c>
      <c r="B199" s="158" t="s">
        <v>637</v>
      </c>
      <c r="C199" s="159" t="s">
        <v>962</v>
      </c>
      <c r="D199" s="159">
        <v>113</v>
      </c>
      <c r="E199" s="142">
        <v>565</v>
      </c>
      <c r="F199" s="159">
        <v>226000</v>
      </c>
      <c r="G199" s="159">
        <v>0</v>
      </c>
      <c r="H199" s="159">
        <v>0</v>
      </c>
      <c r="I199" s="159">
        <v>0</v>
      </c>
      <c r="J199" s="159">
        <v>20</v>
      </c>
      <c r="K199" s="159">
        <v>140</v>
      </c>
      <c r="L199" s="142">
        <v>28000</v>
      </c>
      <c r="M199" s="159">
        <v>6</v>
      </c>
      <c r="N199" s="159">
        <v>42</v>
      </c>
      <c r="O199" s="143">
        <v>8400</v>
      </c>
      <c r="P199" s="159">
        <v>139</v>
      </c>
      <c r="Q199" s="143">
        <v>305200</v>
      </c>
      <c r="R199" s="159">
        <v>42800</v>
      </c>
      <c r="S199" s="159">
        <v>139</v>
      </c>
      <c r="T199" s="159">
        <v>305200</v>
      </c>
      <c r="U199" s="159">
        <f t="shared" si="3"/>
        <v>244160</v>
      </c>
    </row>
    <row r="200" spans="1:21" x14ac:dyDescent="0.25">
      <c r="A200" s="159" t="s">
        <v>215</v>
      </c>
      <c r="B200" s="158" t="s">
        <v>638</v>
      </c>
      <c r="C200" s="159" t="s">
        <v>963</v>
      </c>
      <c r="D200" s="159">
        <v>70</v>
      </c>
      <c r="E200" s="142">
        <v>280</v>
      </c>
      <c r="F200" s="159">
        <v>112000</v>
      </c>
      <c r="G200" s="159">
        <v>0</v>
      </c>
      <c r="H200" s="159">
        <v>0</v>
      </c>
      <c r="I200" s="159">
        <v>0</v>
      </c>
      <c r="J200" s="159">
        <v>9</v>
      </c>
      <c r="K200" s="159">
        <v>90</v>
      </c>
      <c r="L200" s="142">
        <v>18000</v>
      </c>
      <c r="M200" s="159">
        <v>22</v>
      </c>
      <c r="N200" s="159">
        <v>220</v>
      </c>
      <c r="O200" s="143">
        <v>44000</v>
      </c>
      <c r="P200" s="159">
        <v>101</v>
      </c>
      <c r="Q200" s="143">
        <v>209200</v>
      </c>
      <c r="R200" s="159">
        <v>35200</v>
      </c>
      <c r="S200" s="159">
        <v>101</v>
      </c>
      <c r="T200" s="159">
        <v>209200</v>
      </c>
      <c r="U200" s="159">
        <f t="shared" si="3"/>
        <v>167360</v>
      </c>
    </row>
    <row r="201" spans="1:21" x14ac:dyDescent="0.25">
      <c r="A201" s="159" t="s">
        <v>216</v>
      </c>
      <c r="B201" s="158" t="s">
        <v>473</v>
      </c>
      <c r="C201" s="159" t="s">
        <v>964</v>
      </c>
      <c r="D201" s="159">
        <v>95</v>
      </c>
      <c r="E201" s="142">
        <v>380</v>
      </c>
      <c r="F201" s="159">
        <v>152000</v>
      </c>
      <c r="G201" s="159">
        <v>0</v>
      </c>
      <c r="H201" s="159">
        <v>0</v>
      </c>
      <c r="I201" s="159">
        <v>0</v>
      </c>
      <c r="J201" s="159">
        <v>5</v>
      </c>
      <c r="K201" s="159">
        <v>33</v>
      </c>
      <c r="L201" s="142">
        <v>6600</v>
      </c>
      <c r="M201" s="159">
        <v>3</v>
      </c>
      <c r="N201" s="159">
        <v>18</v>
      </c>
      <c r="O201" s="143">
        <v>3600</v>
      </c>
      <c r="P201" s="159">
        <v>103</v>
      </c>
      <c r="Q201" s="143">
        <v>197800</v>
      </c>
      <c r="R201" s="159">
        <v>35600</v>
      </c>
      <c r="S201" s="159">
        <v>103</v>
      </c>
      <c r="T201" s="159">
        <v>197800</v>
      </c>
      <c r="U201" s="159">
        <f t="shared" si="3"/>
        <v>158240</v>
      </c>
    </row>
    <row r="202" spans="1:21" x14ac:dyDescent="0.25">
      <c r="A202" s="159" t="s">
        <v>217</v>
      </c>
      <c r="B202" s="158" t="s">
        <v>639</v>
      </c>
      <c r="C202" s="159" t="s">
        <v>965</v>
      </c>
      <c r="D202" s="159">
        <v>910</v>
      </c>
      <c r="E202" s="142">
        <v>5278</v>
      </c>
      <c r="F202" s="159">
        <v>2111200</v>
      </c>
      <c r="G202" s="159">
        <v>122</v>
      </c>
      <c r="H202" s="159">
        <v>366</v>
      </c>
      <c r="I202" s="159">
        <v>184830</v>
      </c>
      <c r="J202" s="159">
        <v>63</v>
      </c>
      <c r="K202" s="159">
        <v>315</v>
      </c>
      <c r="L202" s="142">
        <v>63000</v>
      </c>
      <c r="M202" s="159">
        <v>20</v>
      </c>
      <c r="N202" s="159">
        <v>100</v>
      </c>
      <c r="O202" s="143">
        <v>20000</v>
      </c>
      <c r="P202" s="159">
        <v>1115</v>
      </c>
      <c r="Q202" s="143">
        <v>2617030</v>
      </c>
      <c r="R202" s="159">
        <v>238000</v>
      </c>
      <c r="S202" s="159">
        <v>1115</v>
      </c>
      <c r="T202" s="159">
        <v>2617030</v>
      </c>
      <c r="U202" s="159">
        <f t="shared" si="3"/>
        <v>2093624</v>
      </c>
    </row>
    <row r="203" spans="1:21" x14ac:dyDescent="0.25">
      <c r="A203" s="159" t="s">
        <v>218</v>
      </c>
      <c r="B203" s="158" t="s">
        <v>640</v>
      </c>
      <c r="C203" s="159" t="s">
        <v>966</v>
      </c>
      <c r="D203" s="159">
        <v>60</v>
      </c>
      <c r="E203" s="142">
        <v>304</v>
      </c>
      <c r="F203" s="159">
        <v>121600</v>
      </c>
      <c r="G203" s="159">
        <v>21</v>
      </c>
      <c r="H203" s="159">
        <v>84</v>
      </c>
      <c r="I203" s="159">
        <v>42420</v>
      </c>
      <c r="J203" s="159">
        <v>14</v>
      </c>
      <c r="K203" s="159">
        <v>84</v>
      </c>
      <c r="L203" s="142">
        <v>16800</v>
      </c>
      <c r="M203" s="159">
        <v>3</v>
      </c>
      <c r="N203" s="159">
        <v>18</v>
      </c>
      <c r="O203" s="143">
        <v>3600</v>
      </c>
      <c r="P203" s="159">
        <v>98</v>
      </c>
      <c r="Q203" s="143">
        <v>218720</v>
      </c>
      <c r="R203" s="159">
        <v>34300</v>
      </c>
      <c r="S203" s="159">
        <v>98</v>
      </c>
      <c r="T203" s="159">
        <v>218720</v>
      </c>
      <c r="U203" s="159">
        <f t="shared" si="3"/>
        <v>174976</v>
      </c>
    </row>
    <row r="204" spans="1:21" x14ac:dyDescent="0.25">
      <c r="A204" s="159" t="s">
        <v>219</v>
      </c>
      <c r="B204" s="158" t="s">
        <v>474</v>
      </c>
      <c r="C204" s="159" t="s">
        <v>967</v>
      </c>
      <c r="D204" s="159">
        <v>18</v>
      </c>
      <c r="E204" s="142">
        <v>104</v>
      </c>
      <c r="F204" s="159">
        <v>41600</v>
      </c>
      <c r="G204" s="159">
        <v>0</v>
      </c>
      <c r="H204" s="159">
        <v>0</v>
      </c>
      <c r="I204" s="159">
        <v>0</v>
      </c>
      <c r="J204" s="159">
        <v>6</v>
      </c>
      <c r="K204" s="159">
        <v>34</v>
      </c>
      <c r="L204" s="142">
        <v>6800</v>
      </c>
      <c r="M204" s="159">
        <v>2</v>
      </c>
      <c r="N204" s="159">
        <v>14</v>
      </c>
      <c r="O204" s="143">
        <v>2800</v>
      </c>
      <c r="P204" s="159">
        <v>26</v>
      </c>
      <c r="Q204" s="143">
        <v>60300</v>
      </c>
      <c r="R204" s="159">
        <v>9100</v>
      </c>
      <c r="S204" s="159">
        <v>26</v>
      </c>
      <c r="T204" s="159">
        <v>60300</v>
      </c>
      <c r="U204" s="159">
        <f t="shared" si="3"/>
        <v>48240</v>
      </c>
    </row>
    <row r="205" spans="1:21" x14ac:dyDescent="0.25">
      <c r="A205" s="159" t="s">
        <v>220</v>
      </c>
      <c r="B205" s="158" t="s">
        <v>641</v>
      </c>
      <c r="C205" s="159" t="s">
        <v>968</v>
      </c>
      <c r="D205" s="159">
        <v>277</v>
      </c>
      <c r="E205" s="142">
        <v>1362</v>
      </c>
      <c r="F205" s="159">
        <v>544800</v>
      </c>
      <c r="G205" s="159">
        <v>110</v>
      </c>
      <c r="H205" s="159">
        <v>462</v>
      </c>
      <c r="I205" s="159">
        <v>233310</v>
      </c>
      <c r="J205" s="159">
        <v>20</v>
      </c>
      <c r="K205" s="159">
        <v>107</v>
      </c>
      <c r="L205" s="142">
        <v>21400</v>
      </c>
      <c r="M205" s="159">
        <v>26</v>
      </c>
      <c r="N205" s="159">
        <v>139</v>
      </c>
      <c r="O205" s="143">
        <v>27800</v>
      </c>
      <c r="P205" s="159">
        <v>433</v>
      </c>
      <c r="Q205" s="143">
        <v>928910</v>
      </c>
      <c r="R205" s="159">
        <v>101600</v>
      </c>
      <c r="S205" s="159">
        <v>433</v>
      </c>
      <c r="T205" s="159">
        <v>928910</v>
      </c>
      <c r="U205" s="159">
        <f t="shared" si="3"/>
        <v>743128</v>
      </c>
    </row>
    <row r="206" spans="1:21" x14ac:dyDescent="0.25">
      <c r="A206" s="159" t="s">
        <v>221</v>
      </c>
      <c r="B206" s="158" t="s">
        <v>642</v>
      </c>
      <c r="C206" s="159" t="s">
        <v>969</v>
      </c>
      <c r="D206" s="159">
        <v>20</v>
      </c>
      <c r="E206" s="142">
        <v>100</v>
      </c>
      <c r="F206" s="159">
        <v>40000</v>
      </c>
      <c r="G206" s="159">
        <v>14</v>
      </c>
      <c r="H206" s="159">
        <v>56</v>
      </c>
      <c r="I206" s="159">
        <v>28280</v>
      </c>
      <c r="J206" s="159">
        <v>10</v>
      </c>
      <c r="K206" s="159">
        <v>50</v>
      </c>
      <c r="L206" s="142">
        <v>10000</v>
      </c>
      <c r="M206" s="159">
        <v>8</v>
      </c>
      <c r="N206" s="159">
        <v>40</v>
      </c>
      <c r="O206" s="143">
        <v>8000</v>
      </c>
      <c r="P206" s="159">
        <v>52</v>
      </c>
      <c r="Q206" s="143">
        <v>104480</v>
      </c>
      <c r="R206" s="159">
        <v>18200</v>
      </c>
      <c r="S206" s="159">
        <v>52</v>
      </c>
      <c r="T206" s="159">
        <v>104480</v>
      </c>
      <c r="U206" s="159">
        <f t="shared" si="3"/>
        <v>83584</v>
      </c>
    </row>
    <row r="207" spans="1:21" x14ac:dyDescent="0.25">
      <c r="A207" s="159" t="s">
        <v>387</v>
      </c>
      <c r="B207" s="158" t="s">
        <v>1148</v>
      </c>
      <c r="C207" s="159" t="s">
        <v>970</v>
      </c>
      <c r="D207" s="159">
        <v>25</v>
      </c>
      <c r="E207" s="142">
        <v>125</v>
      </c>
      <c r="F207" s="159">
        <v>50000</v>
      </c>
      <c r="G207" s="159">
        <v>5</v>
      </c>
      <c r="H207" s="159">
        <v>20</v>
      </c>
      <c r="I207" s="159">
        <v>10100</v>
      </c>
      <c r="J207" s="159">
        <v>4</v>
      </c>
      <c r="K207" s="159">
        <v>17</v>
      </c>
      <c r="L207" s="142">
        <v>3400</v>
      </c>
      <c r="M207" s="159">
        <v>4</v>
      </c>
      <c r="N207" s="159">
        <v>17</v>
      </c>
      <c r="O207" s="143">
        <v>3400</v>
      </c>
      <c r="P207" s="159">
        <v>38</v>
      </c>
      <c r="Q207" s="143">
        <v>80200</v>
      </c>
      <c r="R207" s="159">
        <v>13300</v>
      </c>
      <c r="S207" s="159">
        <v>38</v>
      </c>
      <c r="T207" s="159">
        <v>80200</v>
      </c>
      <c r="U207" s="159">
        <f t="shared" si="3"/>
        <v>64160</v>
      </c>
    </row>
    <row r="208" spans="1:21" x14ac:dyDescent="0.25">
      <c r="A208" s="159" t="s">
        <v>222</v>
      </c>
      <c r="B208" s="158" t="s">
        <v>475</v>
      </c>
      <c r="C208" s="159" t="s">
        <v>971</v>
      </c>
      <c r="D208" s="159">
        <v>79</v>
      </c>
      <c r="E208" s="142">
        <v>356</v>
      </c>
      <c r="F208" s="159">
        <v>142400</v>
      </c>
      <c r="G208" s="159">
        <v>11</v>
      </c>
      <c r="H208" s="159">
        <v>29</v>
      </c>
      <c r="I208" s="159">
        <v>14645</v>
      </c>
      <c r="J208" s="159">
        <v>2</v>
      </c>
      <c r="K208" s="159">
        <v>10</v>
      </c>
      <c r="L208" s="142">
        <v>2000</v>
      </c>
      <c r="M208" s="159">
        <v>2</v>
      </c>
      <c r="N208" s="159">
        <v>10</v>
      </c>
      <c r="O208" s="143">
        <v>2000</v>
      </c>
      <c r="P208" s="159">
        <v>94</v>
      </c>
      <c r="Q208" s="143">
        <v>193945</v>
      </c>
      <c r="R208" s="159">
        <v>32900</v>
      </c>
      <c r="S208" s="159">
        <v>94</v>
      </c>
      <c r="T208" s="159">
        <v>193945</v>
      </c>
      <c r="U208" s="159">
        <f t="shared" si="3"/>
        <v>155156</v>
      </c>
    </row>
    <row r="209" spans="1:21" x14ac:dyDescent="0.25">
      <c r="A209" s="159" t="s">
        <v>223</v>
      </c>
      <c r="B209" s="158" t="s">
        <v>643</v>
      </c>
      <c r="C209" s="159" t="s">
        <v>972</v>
      </c>
      <c r="D209" s="159">
        <v>455</v>
      </c>
      <c r="E209" s="142">
        <v>2639</v>
      </c>
      <c r="F209" s="159">
        <v>1055600</v>
      </c>
      <c r="G209" s="159">
        <v>0</v>
      </c>
      <c r="H209" s="159">
        <v>0</v>
      </c>
      <c r="I209" s="159">
        <v>0</v>
      </c>
      <c r="J209" s="159">
        <v>17</v>
      </c>
      <c r="K209" s="159">
        <v>85</v>
      </c>
      <c r="L209" s="142">
        <v>17000</v>
      </c>
      <c r="M209" s="159">
        <v>30</v>
      </c>
      <c r="N209" s="159">
        <v>180</v>
      </c>
      <c r="O209" s="143">
        <v>36000</v>
      </c>
      <c r="P209" s="159">
        <v>502</v>
      </c>
      <c r="Q209" s="143">
        <v>1224000</v>
      </c>
      <c r="R209" s="159">
        <v>115400</v>
      </c>
      <c r="S209" s="159">
        <v>502</v>
      </c>
      <c r="T209" s="159">
        <v>1224000</v>
      </c>
      <c r="U209" s="159">
        <f t="shared" si="3"/>
        <v>979200</v>
      </c>
    </row>
    <row r="210" spans="1:21" x14ac:dyDescent="0.25">
      <c r="A210" s="159" t="s">
        <v>224</v>
      </c>
      <c r="B210" s="158" t="s">
        <v>644</v>
      </c>
      <c r="C210" s="159" t="s">
        <v>973</v>
      </c>
      <c r="D210" s="159">
        <v>33</v>
      </c>
      <c r="E210" s="142">
        <v>191</v>
      </c>
      <c r="F210" s="159">
        <v>76400</v>
      </c>
      <c r="G210" s="159">
        <v>0</v>
      </c>
      <c r="H210" s="159">
        <v>0</v>
      </c>
      <c r="I210" s="159">
        <v>0</v>
      </c>
      <c r="J210" s="159">
        <v>3</v>
      </c>
      <c r="K210" s="159">
        <v>15</v>
      </c>
      <c r="L210" s="142">
        <v>3000</v>
      </c>
      <c r="M210" s="159">
        <v>3</v>
      </c>
      <c r="N210" s="159">
        <v>15</v>
      </c>
      <c r="O210" s="143">
        <v>3000</v>
      </c>
      <c r="P210" s="159">
        <v>39</v>
      </c>
      <c r="Q210" s="143">
        <v>96050</v>
      </c>
      <c r="R210" s="159">
        <v>13650</v>
      </c>
      <c r="S210" s="159">
        <v>39</v>
      </c>
      <c r="T210" s="159">
        <v>96050</v>
      </c>
      <c r="U210" s="159">
        <f t="shared" si="3"/>
        <v>76840</v>
      </c>
    </row>
    <row r="211" spans="1:21" x14ac:dyDescent="0.25">
      <c r="A211" s="159" t="s">
        <v>225</v>
      </c>
      <c r="B211" s="158" t="s">
        <v>645</v>
      </c>
      <c r="C211" s="159" t="s">
        <v>974</v>
      </c>
      <c r="D211" s="159">
        <v>58</v>
      </c>
      <c r="E211" s="142">
        <v>275</v>
      </c>
      <c r="F211" s="159">
        <v>110000</v>
      </c>
      <c r="G211" s="159">
        <v>0</v>
      </c>
      <c r="H211" s="159">
        <v>0</v>
      </c>
      <c r="I211" s="159">
        <v>0</v>
      </c>
      <c r="J211" s="159">
        <v>11</v>
      </c>
      <c r="K211" s="159">
        <v>44</v>
      </c>
      <c r="L211" s="142">
        <v>8800</v>
      </c>
      <c r="M211" s="159">
        <v>15</v>
      </c>
      <c r="N211" s="159">
        <v>75</v>
      </c>
      <c r="O211" s="143">
        <v>15000</v>
      </c>
      <c r="P211" s="159">
        <v>84</v>
      </c>
      <c r="Q211" s="143">
        <v>163200</v>
      </c>
      <c r="R211" s="159">
        <v>29400</v>
      </c>
      <c r="S211" s="159">
        <v>84</v>
      </c>
      <c r="T211" s="159">
        <v>163200</v>
      </c>
      <c r="U211" s="159">
        <f t="shared" si="3"/>
        <v>130560</v>
      </c>
    </row>
    <row r="212" spans="1:21" x14ac:dyDescent="0.25">
      <c r="A212" s="159" t="s">
        <v>226</v>
      </c>
      <c r="B212" s="158" t="s">
        <v>646</v>
      </c>
      <c r="C212" s="159" t="s">
        <v>975</v>
      </c>
      <c r="D212" s="159">
        <v>63</v>
      </c>
      <c r="E212" s="142">
        <v>284</v>
      </c>
      <c r="F212" s="159">
        <v>113600</v>
      </c>
      <c r="G212" s="159">
        <v>22</v>
      </c>
      <c r="H212" s="159">
        <v>106</v>
      </c>
      <c r="I212" s="159">
        <v>53530</v>
      </c>
      <c r="J212" s="159">
        <v>15</v>
      </c>
      <c r="K212" s="159">
        <v>75</v>
      </c>
      <c r="L212" s="142">
        <v>15000</v>
      </c>
      <c r="M212" s="159">
        <v>3</v>
      </c>
      <c r="N212" s="159">
        <v>15</v>
      </c>
      <c r="O212" s="143">
        <v>3000</v>
      </c>
      <c r="P212" s="159">
        <v>103</v>
      </c>
      <c r="Q212" s="143">
        <v>220730</v>
      </c>
      <c r="R212" s="159">
        <v>35600</v>
      </c>
      <c r="S212" s="159">
        <v>103</v>
      </c>
      <c r="T212" s="159">
        <v>220730</v>
      </c>
      <c r="U212" s="159">
        <f t="shared" si="3"/>
        <v>176584</v>
      </c>
    </row>
    <row r="213" spans="1:21" x14ac:dyDescent="0.25">
      <c r="A213" s="159" t="s">
        <v>227</v>
      </c>
      <c r="B213" s="158" t="s">
        <v>647</v>
      </c>
      <c r="C213" s="159" t="s">
        <v>976</v>
      </c>
      <c r="D213" s="159">
        <v>29</v>
      </c>
      <c r="E213" s="142">
        <v>168</v>
      </c>
      <c r="F213" s="159">
        <v>67200</v>
      </c>
      <c r="G213" s="159">
        <v>24</v>
      </c>
      <c r="H213" s="159">
        <v>115</v>
      </c>
      <c r="I213" s="159">
        <v>58075</v>
      </c>
      <c r="J213" s="159">
        <v>6</v>
      </c>
      <c r="K213" s="159">
        <v>24</v>
      </c>
      <c r="L213" s="142">
        <v>4800</v>
      </c>
      <c r="M213" s="159">
        <v>4</v>
      </c>
      <c r="N213" s="159">
        <v>16</v>
      </c>
      <c r="O213" s="143">
        <v>3200</v>
      </c>
      <c r="P213" s="159">
        <v>63</v>
      </c>
      <c r="Q213" s="143">
        <v>155325</v>
      </c>
      <c r="R213" s="159">
        <v>22050</v>
      </c>
      <c r="S213" s="159">
        <v>63</v>
      </c>
      <c r="T213" s="159">
        <v>155325</v>
      </c>
      <c r="U213" s="159">
        <f t="shared" si="3"/>
        <v>124260</v>
      </c>
    </row>
    <row r="214" spans="1:21" x14ac:dyDescent="0.25">
      <c r="A214" s="159" t="s">
        <v>228</v>
      </c>
      <c r="B214" s="158" t="s">
        <v>648</v>
      </c>
      <c r="C214" s="159" t="s">
        <v>977</v>
      </c>
      <c r="D214" s="159">
        <v>590</v>
      </c>
      <c r="E214" s="142">
        <v>3422</v>
      </c>
      <c r="F214" s="159">
        <v>1368800</v>
      </c>
      <c r="G214" s="159">
        <v>195</v>
      </c>
      <c r="H214" s="159">
        <v>914</v>
      </c>
      <c r="I214" s="159">
        <v>461570</v>
      </c>
      <c r="J214" s="159">
        <v>95</v>
      </c>
      <c r="K214" s="159">
        <v>570</v>
      </c>
      <c r="L214" s="142">
        <v>114000</v>
      </c>
      <c r="M214" s="159">
        <v>20</v>
      </c>
      <c r="N214" s="159">
        <v>130</v>
      </c>
      <c r="O214" s="143">
        <v>26000</v>
      </c>
      <c r="P214" s="159">
        <v>900</v>
      </c>
      <c r="Q214" s="143">
        <v>2165370</v>
      </c>
      <c r="R214" s="159">
        <v>195000</v>
      </c>
      <c r="S214" s="159">
        <v>900</v>
      </c>
      <c r="T214" s="159">
        <v>2165370</v>
      </c>
      <c r="U214" s="159">
        <f t="shared" si="3"/>
        <v>1732296</v>
      </c>
    </row>
    <row r="215" spans="1:21" x14ac:dyDescent="0.25">
      <c r="A215" s="159" t="s">
        <v>229</v>
      </c>
      <c r="B215" s="158" t="s">
        <v>649</v>
      </c>
      <c r="C215" s="159" t="s">
        <v>978</v>
      </c>
      <c r="D215" s="159">
        <v>66</v>
      </c>
      <c r="E215" s="142">
        <v>330</v>
      </c>
      <c r="F215" s="159">
        <v>132000</v>
      </c>
      <c r="G215" s="159">
        <v>0</v>
      </c>
      <c r="H215" s="159">
        <v>0</v>
      </c>
      <c r="I215" s="159">
        <v>0</v>
      </c>
      <c r="J215" s="159">
        <v>10</v>
      </c>
      <c r="K215" s="159">
        <v>50</v>
      </c>
      <c r="L215" s="142">
        <v>10000</v>
      </c>
      <c r="M215" s="159">
        <v>17</v>
      </c>
      <c r="N215" s="159">
        <v>85</v>
      </c>
      <c r="O215" s="143">
        <v>17000</v>
      </c>
      <c r="P215" s="159">
        <v>93</v>
      </c>
      <c r="Q215" s="143">
        <v>191550</v>
      </c>
      <c r="R215" s="159">
        <v>32550</v>
      </c>
      <c r="S215" s="159">
        <v>93</v>
      </c>
      <c r="T215" s="159">
        <v>191550</v>
      </c>
      <c r="U215" s="159">
        <f t="shared" si="3"/>
        <v>153240</v>
      </c>
    </row>
    <row r="216" spans="1:21" x14ac:dyDescent="0.25">
      <c r="A216" s="159" t="s">
        <v>230</v>
      </c>
      <c r="B216" s="158" t="s">
        <v>650</v>
      </c>
      <c r="C216" s="159" t="s">
        <v>979</v>
      </c>
      <c r="D216" s="159">
        <v>26</v>
      </c>
      <c r="E216" s="142">
        <v>126</v>
      </c>
      <c r="F216" s="159">
        <v>50400</v>
      </c>
      <c r="G216" s="159">
        <v>0</v>
      </c>
      <c r="H216" s="159">
        <v>0</v>
      </c>
      <c r="I216" s="159">
        <v>0</v>
      </c>
      <c r="J216" s="159">
        <v>12</v>
      </c>
      <c r="K216" s="159">
        <v>72</v>
      </c>
      <c r="L216" s="142">
        <v>14400</v>
      </c>
      <c r="M216" s="159">
        <v>5</v>
      </c>
      <c r="N216" s="159">
        <v>20</v>
      </c>
      <c r="O216" s="143">
        <v>4000</v>
      </c>
      <c r="P216" s="159">
        <v>43</v>
      </c>
      <c r="Q216" s="143">
        <v>83850</v>
      </c>
      <c r="R216" s="159">
        <v>15050</v>
      </c>
      <c r="S216" s="159">
        <v>43</v>
      </c>
      <c r="T216" s="159">
        <v>83850</v>
      </c>
      <c r="U216" s="159">
        <f t="shared" si="3"/>
        <v>67080</v>
      </c>
    </row>
    <row r="217" spans="1:21" x14ac:dyDescent="0.25">
      <c r="A217" s="159" t="s">
        <v>231</v>
      </c>
      <c r="B217" s="158" t="s">
        <v>651</v>
      </c>
      <c r="C217" s="159" t="s">
        <v>980</v>
      </c>
      <c r="D217" s="159">
        <v>20</v>
      </c>
      <c r="E217" s="142">
        <v>116</v>
      </c>
      <c r="F217" s="159">
        <v>46400</v>
      </c>
      <c r="G217" s="159">
        <v>3</v>
      </c>
      <c r="H217" s="159">
        <v>9</v>
      </c>
      <c r="I217" s="159">
        <v>4545</v>
      </c>
      <c r="J217" s="159">
        <v>23</v>
      </c>
      <c r="K217" s="159">
        <v>115</v>
      </c>
      <c r="L217" s="142">
        <v>23000</v>
      </c>
      <c r="M217" s="159">
        <v>6</v>
      </c>
      <c r="N217" s="159">
        <v>30</v>
      </c>
      <c r="O217" s="143">
        <v>6000</v>
      </c>
      <c r="P217" s="159">
        <v>52</v>
      </c>
      <c r="Q217" s="143">
        <v>98145</v>
      </c>
      <c r="R217" s="159">
        <v>18200</v>
      </c>
      <c r="S217" s="159">
        <v>52</v>
      </c>
      <c r="T217" s="159">
        <v>98145</v>
      </c>
      <c r="U217" s="159">
        <f t="shared" si="3"/>
        <v>78516</v>
      </c>
    </row>
    <row r="218" spans="1:21" x14ac:dyDescent="0.25">
      <c r="A218" s="159" t="s">
        <v>232</v>
      </c>
      <c r="B218" s="158" t="s">
        <v>652</v>
      </c>
      <c r="C218" s="159" t="s">
        <v>981</v>
      </c>
      <c r="D218" s="159">
        <v>21</v>
      </c>
      <c r="E218" s="142">
        <v>84</v>
      </c>
      <c r="F218" s="159">
        <v>33600</v>
      </c>
      <c r="G218" s="159">
        <v>0</v>
      </c>
      <c r="H218" s="159">
        <v>0</v>
      </c>
      <c r="I218" s="159">
        <v>0</v>
      </c>
      <c r="J218" s="159">
        <v>2</v>
      </c>
      <c r="K218" s="159">
        <v>10</v>
      </c>
      <c r="L218" s="142">
        <v>2000</v>
      </c>
      <c r="M218" s="159">
        <v>4</v>
      </c>
      <c r="N218" s="159">
        <v>20</v>
      </c>
      <c r="O218" s="143">
        <v>4000</v>
      </c>
      <c r="P218" s="159">
        <v>27</v>
      </c>
      <c r="Q218" s="143">
        <v>49050</v>
      </c>
      <c r="R218" s="159">
        <v>9450</v>
      </c>
      <c r="S218" s="159">
        <v>27</v>
      </c>
      <c r="T218" s="159">
        <v>49050</v>
      </c>
      <c r="U218" s="159">
        <f t="shared" si="3"/>
        <v>39240</v>
      </c>
    </row>
    <row r="219" spans="1:21" x14ac:dyDescent="0.25">
      <c r="A219" s="159" t="s">
        <v>233</v>
      </c>
      <c r="B219" s="158" t="s">
        <v>1131</v>
      </c>
      <c r="C219" s="159" t="s">
        <v>982</v>
      </c>
      <c r="D219" s="159">
        <v>37</v>
      </c>
      <c r="E219" s="142">
        <v>185</v>
      </c>
      <c r="F219" s="159">
        <v>74000</v>
      </c>
      <c r="G219" s="159">
        <v>19</v>
      </c>
      <c r="H219" s="159">
        <v>91</v>
      </c>
      <c r="I219" s="159">
        <v>45955</v>
      </c>
      <c r="J219" s="159">
        <v>3</v>
      </c>
      <c r="K219" s="159">
        <v>15</v>
      </c>
      <c r="L219" s="142">
        <v>3000</v>
      </c>
      <c r="M219" s="159">
        <v>8</v>
      </c>
      <c r="N219" s="159">
        <v>40</v>
      </c>
      <c r="O219" s="143">
        <v>8000</v>
      </c>
      <c r="P219" s="159">
        <v>67</v>
      </c>
      <c r="Q219" s="143">
        <v>154405</v>
      </c>
      <c r="R219" s="159">
        <v>23450</v>
      </c>
      <c r="S219" s="159">
        <v>67</v>
      </c>
      <c r="T219" s="159">
        <v>154405</v>
      </c>
      <c r="U219" s="159">
        <f t="shared" si="3"/>
        <v>123524</v>
      </c>
    </row>
    <row r="220" spans="1:21" x14ac:dyDescent="0.25">
      <c r="A220" s="159" t="s">
        <v>234</v>
      </c>
      <c r="B220" s="158" t="s">
        <v>653</v>
      </c>
      <c r="C220" s="159" t="s">
        <v>983</v>
      </c>
      <c r="D220" s="159">
        <v>24</v>
      </c>
      <c r="E220" s="142">
        <v>72</v>
      </c>
      <c r="F220" s="159">
        <v>28800</v>
      </c>
      <c r="G220" s="159">
        <v>11</v>
      </c>
      <c r="H220" s="159">
        <v>44</v>
      </c>
      <c r="I220" s="159">
        <v>22220</v>
      </c>
      <c r="J220" s="159">
        <v>5</v>
      </c>
      <c r="K220" s="159">
        <v>35</v>
      </c>
      <c r="L220" s="142">
        <v>7000</v>
      </c>
      <c r="M220" s="159">
        <v>0</v>
      </c>
      <c r="N220" s="159">
        <v>0</v>
      </c>
      <c r="O220" s="143">
        <v>0</v>
      </c>
      <c r="P220" s="159">
        <v>40</v>
      </c>
      <c r="Q220" s="143">
        <v>72020</v>
      </c>
      <c r="R220" s="159">
        <v>14000</v>
      </c>
      <c r="S220" s="159">
        <v>40</v>
      </c>
      <c r="T220" s="159">
        <v>72020</v>
      </c>
      <c r="U220" s="159">
        <f t="shared" si="3"/>
        <v>57616</v>
      </c>
    </row>
    <row r="221" spans="1:21" x14ac:dyDescent="0.25">
      <c r="A221" s="159" t="s">
        <v>235</v>
      </c>
      <c r="B221" s="158" t="s">
        <v>654</v>
      </c>
      <c r="C221" s="159" t="s">
        <v>984</v>
      </c>
      <c r="D221" s="159">
        <v>62</v>
      </c>
      <c r="E221" s="142">
        <v>346</v>
      </c>
      <c r="F221" s="159">
        <v>138400</v>
      </c>
      <c r="G221" s="159">
        <v>35</v>
      </c>
      <c r="H221" s="159">
        <v>168</v>
      </c>
      <c r="I221" s="159">
        <v>84840</v>
      </c>
      <c r="J221" s="159">
        <v>5</v>
      </c>
      <c r="K221" s="159">
        <v>35</v>
      </c>
      <c r="L221" s="142">
        <v>7000</v>
      </c>
      <c r="M221" s="159">
        <v>2</v>
      </c>
      <c r="N221" s="159">
        <v>14</v>
      </c>
      <c r="O221" s="143">
        <v>2800</v>
      </c>
      <c r="P221" s="159">
        <v>104</v>
      </c>
      <c r="Q221" s="143">
        <v>268840</v>
      </c>
      <c r="R221" s="159">
        <v>35800</v>
      </c>
      <c r="S221" s="159">
        <v>104</v>
      </c>
      <c r="T221" s="159">
        <v>268840</v>
      </c>
      <c r="U221" s="159">
        <f t="shared" si="3"/>
        <v>215072</v>
      </c>
    </row>
    <row r="222" spans="1:21" x14ac:dyDescent="0.25">
      <c r="A222" s="159" t="s">
        <v>236</v>
      </c>
      <c r="B222" s="158" t="s">
        <v>476</v>
      </c>
      <c r="C222" s="159" t="s">
        <v>985</v>
      </c>
      <c r="D222" s="159">
        <v>12</v>
      </c>
      <c r="E222" s="142">
        <v>70</v>
      </c>
      <c r="F222" s="159">
        <v>28000</v>
      </c>
      <c r="G222" s="159">
        <v>0</v>
      </c>
      <c r="H222" s="159">
        <v>0</v>
      </c>
      <c r="I222" s="159">
        <v>0</v>
      </c>
      <c r="J222" s="159">
        <v>10</v>
      </c>
      <c r="K222" s="159">
        <v>50</v>
      </c>
      <c r="L222" s="142">
        <v>10000</v>
      </c>
      <c r="M222" s="159">
        <v>3</v>
      </c>
      <c r="N222" s="159">
        <v>15</v>
      </c>
      <c r="O222" s="143">
        <v>3000</v>
      </c>
      <c r="P222" s="159">
        <v>25</v>
      </c>
      <c r="Q222" s="143">
        <v>49750</v>
      </c>
      <c r="R222" s="159">
        <v>8750</v>
      </c>
      <c r="S222" s="159">
        <v>25</v>
      </c>
      <c r="T222" s="159">
        <v>49750</v>
      </c>
      <c r="U222" s="159">
        <f t="shared" si="3"/>
        <v>39800</v>
      </c>
    </row>
    <row r="223" spans="1:21" x14ac:dyDescent="0.25">
      <c r="A223" s="159" t="s">
        <v>237</v>
      </c>
      <c r="B223" s="158" t="s">
        <v>655</v>
      </c>
      <c r="C223" s="159" t="s">
        <v>986</v>
      </c>
      <c r="D223" s="159">
        <v>16</v>
      </c>
      <c r="E223" s="142">
        <v>80</v>
      </c>
      <c r="F223" s="159">
        <v>32000</v>
      </c>
      <c r="G223" s="159">
        <v>6</v>
      </c>
      <c r="H223" s="159">
        <v>24</v>
      </c>
      <c r="I223" s="159">
        <v>12120</v>
      </c>
      <c r="J223" s="159">
        <v>4</v>
      </c>
      <c r="K223" s="159">
        <v>20</v>
      </c>
      <c r="L223" s="142">
        <v>4000</v>
      </c>
      <c r="M223" s="159">
        <v>7</v>
      </c>
      <c r="N223" s="159">
        <v>35</v>
      </c>
      <c r="O223" s="143">
        <v>7000</v>
      </c>
      <c r="P223" s="159">
        <v>33</v>
      </c>
      <c r="Q223" s="143">
        <v>66670</v>
      </c>
      <c r="R223" s="159">
        <v>11550</v>
      </c>
      <c r="S223" s="159">
        <v>33</v>
      </c>
      <c r="T223" s="159">
        <v>66670</v>
      </c>
      <c r="U223" s="159">
        <f t="shared" si="3"/>
        <v>53336</v>
      </c>
    </row>
    <row r="224" spans="1:21" x14ac:dyDescent="0.25">
      <c r="A224" s="159" t="s">
        <v>238</v>
      </c>
      <c r="B224" s="158" t="s">
        <v>656</v>
      </c>
      <c r="C224" s="159" t="s">
        <v>987</v>
      </c>
      <c r="D224" s="159">
        <v>56</v>
      </c>
      <c r="E224" s="142">
        <v>255</v>
      </c>
      <c r="F224" s="159">
        <v>102000</v>
      </c>
      <c r="G224" s="159">
        <v>7</v>
      </c>
      <c r="H224" s="159">
        <v>28</v>
      </c>
      <c r="I224" s="159">
        <v>14140</v>
      </c>
      <c r="J224" s="159">
        <v>16</v>
      </c>
      <c r="K224" s="159">
        <v>64</v>
      </c>
      <c r="L224" s="142">
        <v>12800</v>
      </c>
      <c r="M224" s="159">
        <v>3</v>
      </c>
      <c r="N224" s="159">
        <v>12</v>
      </c>
      <c r="O224" s="143">
        <v>2400</v>
      </c>
      <c r="P224" s="159">
        <v>82</v>
      </c>
      <c r="Q224" s="143">
        <v>160040</v>
      </c>
      <c r="R224" s="159">
        <v>28700</v>
      </c>
      <c r="S224" s="159">
        <v>82</v>
      </c>
      <c r="T224" s="159">
        <v>160040</v>
      </c>
      <c r="U224" s="159">
        <f t="shared" si="3"/>
        <v>128032</v>
      </c>
    </row>
    <row r="225" spans="1:21" x14ac:dyDescent="0.25">
      <c r="A225" s="159" t="s">
        <v>239</v>
      </c>
      <c r="B225" s="158" t="s">
        <v>657</v>
      </c>
      <c r="C225" s="159" t="s">
        <v>988</v>
      </c>
      <c r="D225" s="159">
        <v>80</v>
      </c>
      <c r="E225" s="142">
        <v>240</v>
      </c>
      <c r="F225" s="159">
        <v>96000</v>
      </c>
      <c r="G225" s="159">
        <v>0</v>
      </c>
      <c r="H225" s="159">
        <v>0</v>
      </c>
      <c r="I225" s="159">
        <v>0</v>
      </c>
      <c r="J225" s="159">
        <v>6</v>
      </c>
      <c r="K225" s="159">
        <v>30</v>
      </c>
      <c r="L225" s="142">
        <v>6000</v>
      </c>
      <c r="M225" s="159">
        <v>4</v>
      </c>
      <c r="N225" s="159">
        <v>12</v>
      </c>
      <c r="O225" s="143">
        <v>2400</v>
      </c>
      <c r="P225" s="159">
        <v>90</v>
      </c>
      <c r="Q225" s="143">
        <v>135900</v>
      </c>
      <c r="R225" s="159">
        <v>31500</v>
      </c>
      <c r="S225" s="159">
        <v>90</v>
      </c>
      <c r="T225" s="159">
        <v>135900</v>
      </c>
      <c r="U225" s="159">
        <f t="shared" si="3"/>
        <v>108720</v>
      </c>
    </row>
    <row r="226" spans="1:21" x14ac:dyDescent="0.25">
      <c r="A226" s="159" t="s">
        <v>240</v>
      </c>
      <c r="B226" s="158" t="s">
        <v>477</v>
      </c>
      <c r="C226" s="159" t="s">
        <v>989</v>
      </c>
      <c r="D226" s="159">
        <v>15</v>
      </c>
      <c r="E226" s="142">
        <v>67</v>
      </c>
      <c r="F226" s="159">
        <v>26800</v>
      </c>
      <c r="G226" s="159">
        <v>0</v>
      </c>
      <c r="H226" s="159">
        <v>0</v>
      </c>
      <c r="I226" s="159">
        <v>0</v>
      </c>
      <c r="J226" s="159">
        <v>5</v>
      </c>
      <c r="K226" s="159">
        <v>25</v>
      </c>
      <c r="L226" s="142">
        <v>5000</v>
      </c>
      <c r="M226" s="159">
        <v>5</v>
      </c>
      <c r="N226" s="159">
        <v>25</v>
      </c>
      <c r="O226" s="143">
        <v>5000</v>
      </c>
      <c r="P226" s="159">
        <v>25</v>
      </c>
      <c r="Q226" s="143">
        <v>45550</v>
      </c>
      <c r="R226" s="159">
        <v>8750</v>
      </c>
      <c r="S226" s="159">
        <v>25</v>
      </c>
      <c r="T226" s="159">
        <v>45550</v>
      </c>
      <c r="U226" s="159">
        <f t="shared" si="3"/>
        <v>36440</v>
      </c>
    </row>
    <row r="227" spans="1:21" x14ac:dyDescent="0.25">
      <c r="A227" s="159" t="s">
        <v>241</v>
      </c>
      <c r="B227" s="158" t="s">
        <v>1132</v>
      </c>
      <c r="C227" s="159" t="s">
        <v>990</v>
      </c>
      <c r="D227" s="159">
        <v>59</v>
      </c>
      <c r="E227" s="142">
        <v>295</v>
      </c>
      <c r="F227" s="159">
        <v>118000</v>
      </c>
      <c r="G227" s="159">
        <v>31</v>
      </c>
      <c r="H227" s="159">
        <v>149</v>
      </c>
      <c r="I227" s="159">
        <v>75245</v>
      </c>
      <c r="J227" s="159">
        <v>8</v>
      </c>
      <c r="K227" s="159">
        <v>56</v>
      </c>
      <c r="L227" s="142">
        <v>11200</v>
      </c>
      <c r="M227" s="159">
        <v>21</v>
      </c>
      <c r="N227" s="159">
        <v>147</v>
      </c>
      <c r="O227" s="143">
        <v>29400</v>
      </c>
      <c r="P227" s="159">
        <v>119</v>
      </c>
      <c r="Q227" s="143">
        <v>272645</v>
      </c>
      <c r="R227" s="159">
        <v>38800</v>
      </c>
      <c r="S227" s="159">
        <v>119</v>
      </c>
      <c r="T227" s="159">
        <v>272645</v>
      </c>
      <c r="U227" s="159">
        <f t="shared" si="3"/>
        <v>218116</v>
      </c>
    </row>
    <row r="228" spans="1:21" x14ac:dyDescent="0.25">
      <c r="A228" s="159" t="s">
        <v>242</v>
      </c>
      <c r="B228" s="158" t="s">
        <v>658</v>
      </c>
      <c r="C228" s="159" t="s">
        <v>991</v>
      </c>
      <c r="D228" s="159">
        <v>208</v>
      </c>
      <c r="E228" s="142">
        <v>1040</v>
      </c>
      <c r="F228" s="159">
        <v>416000</v>
      </c>
      <c r="G228" s="159">
        <v>0</v>
      </c>
      <c r="H228" s="159">
        <v>0</v>
      </c>
      <c r="I228" s="159">
        <v>0</v>
      </c>
      <c r="J228" s="159">
        <v>6</v>
      </c>
      <c r="K228" s="159">
        <v>30</v>
      </c>
      <c r="L228" s="142">
        <v>6000</v>
      </c>
      <c r="M228" s="159">
        <v>5</v>
      </c>
      <c r="N228" s="159">
        <v>27</v>
      </c>
      <c r="O228" s="143">
        <v>5400</v>
      </c>
      <c r="P228" s="159">
        <v>219</v>
      </c>
      <c r="Q228" s="143">
        <v>486200</v>
      </c>
      <c r="R228" s="159">
        <v>58800</v>
      </c>
      <c r="S228" s="159">
        <v>219</v>
      </c>
      <c r="T228" s="159">
        <v>486200</v>
      </c>
      <c r="U228" s="159">
        <f t="shared" si="3"/>
        <v>388960</v>
      </c>
    </row>
    <row r="229" spans="1:21" x14ac:dyDescent="0.25">
      <c r="A229" s="159" t="s">
        <v>243</v>
      </c>
      <c r="B229" s="158" t="s">
        <v>659</v>
      </c>
      <c r="C229" s="159" t="s">
        <v>992</v>
      </c>
      <c r="D229" s="159">
        <v>138</v>
      </c>
      <c r="E229" s="142">
        <v>690</v>
      </c>
      <c r="F229" s="159">
        <v>276000</v>
      </c>
      <c r="G229" s="159">
        <v>0</v>
      </c>
      <c r="H229" s="159">
        <v>0</v>
      </c>
      <c r="I229" s="159">
        <v>0</v>
      </c>
      <c r="J229" s="159">
        <v>16</v>
      </c>
      <c r="K229" s="159">
        <v>112</v>
      </c>
      <c r="L229" s="142">
        <v>22400</v>
      </c>
      <c r="M229" s="159">
        <v>17</v>
      </c>
      <c r="N229" s="159">
        <v>119</v>
      </c>
      <c r="O229" s="143">
        <v>23800</v>
      </c>
      <c r="P229" s="159">
        <v>171</v>
      </c>
      <c r="Q229" s="143">
        <v>371400</v>
      </c>
      <c r="R229" s="159">
        <v>49200</v>
      </c>
      <c r="S229" s="159">
        <v>171</v>
      </c>
      <c r="T229" s="159">
        <v>371400</v>
      </c>
      <c r="U229" s="159">
        <f t="shared" si="3"/>
        <v>297120</v>
      </c>
    </row>
    <row r="230" spans="1:21" x14ac:dyDescent="0.25">
      <c r="A230" s="159" t="s">
        <v>244</v>
      </c>
      <c r="B230" s="158" t="s">
        <v>659</v>
      </c>
      <c r="C230" s="159" t="s">
        <v>993</v>
      </c>
      <c r="D230" s="159">
        <v>0</v>
      </c>
      <c r="E230" s="142">
        <v>0</v>
      </c>
      <c r="F230" s="159">
        <v>0</v>
      </c>
      <c r="G230" s="159">
        <v>264</v>
      </c>
      <c r="H230" s="159">
        <v>1040</v>
      </c>
      <c r="I230" s="159">
        <v>525200</v>
      </c>
      <c r="J230" s="159">
        <v>1</v>
      </c>
      <c r="K230" s="159">
        <v>5</v>
      </c>
      <c r="L230" s="142">
        <v>1000</v>
      </c>
      <c r="M230" s="159">
        <v>3</v>
      </c>
      <c r="N230" s="159">
        <v>24</v>
      </c>
      <c r="O230" s="143">
        <v>4800</v>
      </c>
      <c r="P230" s="159">
        <v>268</v>
      </c>
      <c r="Q230" s="143">
        <v>599600</v>
      </c>
      <c r="R230" s="159">
        <v>68600</v>
      </c>
      <c r="S230" s="159">
        <v>268</v>
      </c>
      <c r="T230" s="159">
        <v>599600</v>
      </c>
      <c r="U230" s="159">
        <f t="shared" si="3"/>
        <v>479680</v>
      </c>
    </row>
    <row r="231" spans="1:21" x14ac:dyDescent="0.25">
      <c r="A231" s="159" t="s">
        <v>245</v>
      </c>
      <c r="B231" s="158" t="s">
        <v>660</v>
      </c>
      <c r="C231" s="159" t="s">
        <v>994</v>
      </c>
      <c r="D231" s="159">
        <v>47</v>
      </c>
      <c r="E231" s="142">
        <v>254</v>
      </c>
      <c r="F231" s="159">
        <v>101600</v>
      </c>
      <c r="G231" s="159">
        <v>0</v>
      </c>
      <c r="H231" s="159">
        <v>0</v>
      </c>
      <c r="I231" s="159">
        <v>0</v>
      </c>
      <c r="J231" s="159">
        <v>14</v>
      </c>
      <c r="K231" s="159">
        <v>84</v>
      </c>
      <c r="L231" s="142">
        <v>16800</v>
      </c>
      <c r="M231" s="159">
        <v>13</v>
      </c>
      <c r="N231" s="159">
        <v>91</v>
      </c>
      <c r="O231" s="143">
        <v>18200</v>
      </c>
      <c r="P231" s="159">
        <v>74</v>
      </c>
      <c r="Q231" s="143">
        <v>162500</v>
      </c>
      <c r="R231" s="159">
        <v>25900</v>
      </c>
      <c r="S231" s="159">
        <v>74</v>
      </c>
      <c r="T231" s="159">
        <v>162500</v>
      </c>
      <c r="U231" s="159">
        <f t="shared" si="3"/>
        <v>130000</v>
      </c>
    </row>
    <row r="232" spans="1:21" x14ac:dyDescent="0.25">
      <c r="A232" s="159" t="s">
        <v>996</v>
      </c>
      <c r="B232" s="158" t="s">
        <v>1133</v>
      </c>
      <c r="C232" s="159" t="s">
        <v>995</v>
      </c>
      <c r="D232" s="159">
        <v>9</v>
      </c>
      <c r="E232" s="142">
        <v>52</v>
      </c>
      <c r="F232" s="159">
        <v>20800</v>
      </c>
      <c r="G232" s="159">
        <v>0</v>
      </c>
      <c r="H232" s="159">
        <v>0</v>
      </c>
      <c r="I232" s="159">
        <v>0</v>
      </c>
      <c r="J232" s="159">
        <v>5</v>
      </c>
      <c r="K232" s="159">
        <v>50</v>
      </c>
      <c r="L232" s="142">
        <v>10000</v>
      </c>
      <c r="M232" s="159">
        <v>3</v>
      </c>
      <c r="N232" s="159">
        <v>20</v>
      </c>
      <c r="O232" s="143">
        <v>4000</v>
      </c>
      <c r="P232" s="159">
        <v>17</v>
      </c>
      <c r="Q232" s="143">
        <v>40750</v>
      </c>
      <c r="R232" s="159">
        <v>5950</v>
      </c>
      <c r="S232" s="159">
        <v>17</v>
      </c>
      <c r="T232" s="159">
        <v>40750</v>
      </c>
      <c r="U232" s="159">
        <f t="shared" si="3"/>
        <v>32600</v>
      </c>
    </row>
    <row r="233" spans="1:21" x14ac:dyDescent="0.25">
      <c r="A233" s="159" t="s">
        <v>246</v>
      </c>
      <c r="B233" s="158" t="s">
        <v>661</v>
      </c>
      <c r="C233" s="159" t="s">
        <v>997</v>
      </c>
      <c r="D233" s="159">
        <v>691</v>
      </c>
      <c r="E233" s="142">
        <v>3949</v>
      </c>
      <c r="F233" s="159">
        <v>1579600</v>
      </c>
      <c r="G233" s="159">
        <v>0</v>
      </c>
      <c r="H233" s="159">
        <v>0</v>
      </c>
      <c r="I233" s="159">
        <v>0</v>
      </c>
      <c r="J233" s="159">
        <v>50</v>
      </c>
      <c r="K233" s="159">
        <v>300</v>
      </c>
      <c r="L233" s="142">
        <v>60000</v>
      </c>
      <c r="M233" s="159">
        <v>51</v>
      </c>
      <c r="N233" s="159">
        <v>313</v>
      </c>
      <c r="O233" s="143">
        <v>62600</v>
      </c>
      <c r="P233" s="159">
        <v>792</v>
      </c>
      <c r="Q233" s="143">
        <v>1875600</v>
      </c>
      <c r="R233" s="159">
        <v>173400</v>
      </c>
      <c r="S233" s="159">
        <v>792</v>
      </c>
      <c r="T233" s="159">
        <v>1875600</v>
      </c>
      <c r="U233" s="159">
        <f t="shared" si="3"/>
        <v>1500480</v>
      </c>
    </row>
    <row r="234" spans="1:21" x14ac:dyDescent="0.25">
      <c r="A234" s="159" t="s">
        <v>247</v>
      </c>
      <c r="B234" s="158" t="s">
        <v>661</v>
      </c>
      <c r="C234" s="159" t="s">
        <v>998</v>
      </c>
      <c r="D234" s="159">
        <v>0</v>
      </c>
      <c r="E234" s="142">
        <v>0</v>
      </c>
      <c r="F234" s="159">
        <v>0</v>
      </c>
      <c r="G234" s="159">
        <v>150</v>
      </c>
      <c r="H234" s="159">
        <v>600</v>
      </c>
      <c r="I234" s="159">
        <v>303000</v>
      </c>
      <c r="J234" s="159">
        <v>0</v>
      </c>
      <c r="K234" s="159">
        <v>0</v>
      </c>
      <c r="L234" s="142">
        <v>0</v>
      </c>
      <c r="M234" s="159">
        <v>0</v>
      </c>
      <c r="N234" s="159">
        <v>0</v>
      </c>
      <c r="O234" s="143">
        <v>0</v>
      </c>
      <c r="P234" s="159">
        <v>150</v>
      </c>
      <c r="Q234" s="143">
        <v>348000</v>
      </c>
      <c r="R234" s="159">
        <v>45000</v>
      </c>
      <c r="S234" s="159">
        <v>150</v>
      </c>
      <c r="T234" s="159">
        <v>348000</v>
      </c>
      <c r="U234" s="159">
        <f t="shared" si="3"/>
        <v>278400</v>
      </c>
    </row>
    <row r="235" spans="1:21" x14ac:dyDescent="0.25">
      <c r="A235" s="159" t="s">
        <v>248</v>
      </c>
      <c r="B235" s="158" t="s">
        <v>478</v>
      </c>
      <c r="C235" s="159" t="s">
        <v>999</v>
      </c>
      <c r="D235" s="159">
        <v>7</v>
      </c>
      <c r="E235" s="142">
        <v>21</v>
      </c>
      <c r="F235" s="159">
        <v>8400</v>
      </c>
      <c r="G235" s="159">
        <v>0</v>
      </c>
      <c r="H235" s="159">
        <v>0</v>
      </c>
      <c r="I235" s="159">
        <v>0</v>
      </c>
      <c r="J235" s="159">
        <v>1</v>
      </c>
      <c r="K235" s="159">
        <v>5</v>
      </c>
      <c r="L235" s="142">
        <v>1000</v>
      </c>
      <c r="M235" s="159">
        <v>4</v>
      </c>
      <c r="N235" s="159">
        <v>20</v>
      </c>
      <c r="O235" s="143">
        <v>4000</v>
      </c>
      <c r="P235" s="159">
        <v>12</v>
      </c>
      <c r="Q235" s="143">
        <v>17600</v>
      </c>
      <c r="R235" s="159">
        <v>4200</v>
      </c>
      <c r="S235" s="159">
        <v>12</v>
      </c>
      <c r="T235" s="159">
        <v>17600</v>
      </c>
      <c r="U235" s="159">
        <f t="shared" si="3"/>
        <v>14080</v>
      </c>
    </row>
    <row r="236" spans="1:21" x14ac:dyDescent="0.25">
      <c r="A236" s="159" t="s">
        <v>249</v>
      </c>
      <c r="B236" s="158" t="s">
        <v>479</v>
      </c>
      <c r="C236" s="159" t="s">
        <v>1000</v>
      </c>
      <c r="D236" s="159">
        <v>155</v>
      </c>
      <c r="E236" s="142">
        <v>620</v>
      </c>
      <c r="F236" s="159">
        <v>248000</v>
      </c>
      <c r="G236" s="159">
        <v>0</v>
      </c>
      <c r="H236" s="159">
        <v>0</v>
      </c>
      <c r="I236" s="159">
        <v>0</v>
      </c>
      <c r="J236" s="159">
        <v>20</v>
      </c>
      <c r="K236" s="159">
        <v>67</v>
      </c>
      <c r="L236" s="142">
        <v>13400</v>
      </c>
      <c r="M236" s="159">
        <v>8</v>
      </c>
      <c r="N236" s="159">
        <v>48</v>
      </c>
      <c r="O236" s="143">
        <v>9600</v>
      </c>
      <c r="P236" s="159">
        <v>183</v>
      </c>
      <c r="Q236" s="143">
        <v>322600</v>
      </c>
      <c r="R236" s="159">
        <v>51600</v>
      </c>
      <c r="S236" s="159">
        <v>183</v>
      </c>
      <c r="T236" s="159">
        <v>322600</v>
      </c>
      <c r="U236" s="159">
        <f t="shared" si="3"/>
        <v>258080</v>
      </c>
    </row>
    <row r="237" spans="1:21" x14ac:dyDescent="0.25">
      <c r="A237" s="159" t="s">
        <v>250</v>
      </c>
      <c r="B237" s="158" t="s">
        <v>662</v>
      </c>
      <c r="C237" s="159" t="s">
        <v>1001</v>
      </c>
      <c r="D237" s="159">
        <v>655</v>
      </c>
      <c r="E237" s="142">
        <v>3300</v>
      </c>
      <c r="F237" s="159">
        <v>1320000</v>
      </c>
      <c r="G237" s="159">
        <v>0</v>
      </c>
      <c r="H237" s="159">
        <v>0</v>
      </c>
      <c r="I237" s="159">
        <v>0</v>
      </c>
      <c r="J237" s="159">
        <v>17</v>
      </c>
      <c r="K237" s="159">
        <v>115</v>
      </c>
      <c r="L237" s="142">
        <v>23000</v>
      </c>
      <c r="M237" s="159">
        <v>11</v>
      </c>
      <c r="N237" s="159">
        <v>52</v>
      </c>
      <c r="O237" s="143">
        <v>10400</v>
      </c>
      <c r="P237" s="159">
        <v>683</v>
      </c>
      <c r="Q237" s="143">
        <v>1505000</v>
      </c>
      <c r="R237" s="159">
        <v>151600</v>
      </c>
      <c r="S237" s="159">
        <v>683</v>
      </c>
      <c r="T237" s="159">
        <v>1505000</v>
      </c>
      <c r="U237" s="159">
        <f t="shared" si="3"/>
        <v>1204000</v>
      </c>
    </row>
    <row r="238" spans="1:21" x14ac:dyDescent="0.25">
      <c r="A238" s="159" t="s">
        <v>1003</v>
      </c>
      <c r="B238" s="158" t="s">
        <v>1134</v>
      </c>
      <c r="C238" s="159" t="s">
        <v>1002</v>
      </c>
      <c r="D238" s="159">
        <v>6</v>
      </c>
      <c r="E238" s="142">
        <v>30</v>
      </c>
      <c r="F238" s="159">
        <v>12000</v>
      </c>
      <c r="G238" s="159">
        <v>0</v>
      </c>
      <c r="H238" s="159">
        <v>0</v>
      </c>
      <c r="I238" s="159">
        <v>0</v>
      </c>
      <c r="J238" s="159">
        <v>9</v>
      </c>
      <c r="K238" s="159">
        <v>36</v>
      </c>
      <c r="L238" s="142">
        <v>7200</v>
      </c>
      <c r="M238" s="159">
        <v>0</v>
      </c>
      <c r="N238" s="159">
        <v>0</v>
      </c>
      <c r="O238" s="143">
        <v>0</v>
      </c>
      <c r="P238" s="159">
        <v>15</v>
      </c>
      <c r="Q238" s="143">
        <v>24450</v>
      </c>
      <c r="R238" s="159">
        <v>5250</v>
      </c>
      <c r="S238" s="159">
        <v>15</v>
      </c>
      <c r="T238" s="159">
        <v>24450</v>
      </c>
      <c r="U238" s="159">
        <f t="shared" si="3"/>
        <v>19560</v>
      </c>
    </row>
    <row r="239" spans="1:21" x14ac:dyDescent="0.25">
      <c r="A239" s="159" t="s">
        <v>251</v>
      </c>
      <c r="B239" s="158" t="s">
        <v>663</v>
      </c>
      <c r="C239" s="159" t="s">
        <v>1004</v>
      </c>
      <c r="D239" s="159">
        <v>35</v>
      </c>
      <c r="E239" s="142">
        <v>175</v>
      </c>
      <c r="F239" s="159">
        <v>70000</v>
      </c>
      <c r="G239" s="159">
        <v>0</v>
      </c>
      <c r="H239" s="159">
        <v>0</v>
      </c>
      <c r="I239" s="159">
        <v>0</v>
      </c>
      <c r="J239" s="159">
        <v>8</v>
      </c>
      <c r="K239" s="159">
        <v>32</v>
      </c>
      <c r="L239" s="142">
        <v>6400</v>
      </c>
      <c r="M239" s="159">
        <v>4</v>
      </c>
      <c r="N239" s="159">
        <v>16</v>
      </c>
      <c r="O239" s="143">
        <v>3200</v>
      </c>
      <c r="P239" s="159">
        <v>47</v>
      </c>
      <c r="Q239" s="143">
        <v>96050</v>
      </c>
      <c r="R239" s="159">
        <v>16450</v>
      </c>
      <c r="S239" s="159">
        <v>47</v>
      </c>
      <c r="T239" s="159">
        <v>96050</v>
      </c>
      <c r="U239" s="159">
        <f t="shared" si="3"/>
        <v>76840</v>
      </c>
    </row>
    <row r="240" spans="1:21" x14ac:dyDescent="0.25">
      <c r="A240" s="159" t="s">
        <v>252</v>
      </c>
      <c r="B240" s="158" t="s">
        <v>664</v>
      </c>
      <c r="C240" s="159" t="s">
        <v>1005</v>
      </c>
      <c r="D240" s="159">
        <v>0</v>
      </c>
      <c r="E240" s="142">
        <v>0</v>
      </c>
      <c r="F240" s="159">
        <v>0</v>
      </c>
      <c r="G240" s="159">
        <v>7</v>
      </c>
      <c r="H240" s="159">
        <v>14</v>
      </c>
      <c r="I240" s="159">
        <v>7070</v>
      </c>
      <c r="J240" s="159">
        <v>4</v>
      </c>
      <c r="K240" s="159">
        <v>28</v>
      </c>
      <c r="L240" s="142">
        <v>5600</v>
      </c>
      <c r="M240" s="159">
        <v>8</v>
      </c>
      <c r="N240" s="159">
        <v>56</v>
      </c>
      <c r="O240" s="143">
        <v>11200</v>
      </c>
      <c r="P240" s="159">
        <v>19</v>
      </c>
      <c r="Q240" s="143">
        <v>30520</v>
      </c>
      <c r="R240" s="159">
        <v>6650</v>
      </c>
      <c r="S240" s="159">
        <v>19</v>
      </c>
      <c r="T240" s="159">
        <v>30520</v>
      </c>
      <c r="U240" s="159">
        <f t="shared" si="3"/>
        <v>24416</v>
      </c>
    </row>
    <row r="241" spans="1:21" x14ac:dyDescent="0.25">
      <c r="A241" s="159" t="s">
        <v>253</v>
      </c>
      <c r="B241" s="158" t="s">
        <v>480</v>
      </c>
      <c r="C241" s="159" t="s">
        <v>1006</v>
      </c>
      <c r="D241" s="159">
        <v>35</v>
      </c>
      <c r="E241" s="142">
        <v>105</v>
      </c>
      <c r="F241" s="159">
        <v>42000</v>
      </c>
      <c r="G241" s="159">
        <v>55</v>
      </c>
      <c r="H241" s="159">
        <v>110</v>
      </c>
      <c r="I241" s="159">
        <v>55550</v>
      </c>
      <c r="J241" s="159">
        <v>4</v>
      </c>
      <c r="K241" s="159">
        <v>20</v>
      </c>
      <c r="L241" s="142">
        <v>4000</v>
      </c>
      <c r="M241" s="159">
        <v>8</v>
      </c>
      <c r="N241" s="159">
        <v>40</v>
      </c>
      <c r="O241" s="143">
        <v>8000</v>
      </c>
      <c r="P241" s="159">
        <v>102</v>
      </c>
      <c r="Q241" s="143">
        <v>144950</v>
      </c>
      <c r="R241" s="159">
        <v>35400</v>
      </c>
      <c r="S241" s="159">
        <v>102</v>
      </c>
      <c r="T241" s="159">
        <v>144950</v>
      </c>
      <c r="U241" s="159">
        <f t="shared" si="3"/>
        <v>115960</v>
      </c>
    </row>
    <row r="242" spans="1:21" x14ac:dyDescent="0.25">
      <c r="A242" s="159" t="s">
        <v>254</v>
      </c>
      <c r="B242" s="158" t="s">
        <v>481</v>
      </c>
      <c r="C242" s="159" t="s">
        <v>1007</v>
      </c>
      <c r="D242" s="159">
        <v>9</v>
      </c>
      <c r="E242" s="142">
        <v>45</v>
      </c>
      <c r="F242" s="159">
        <v>18000</v>
      </c>
      <c r="G242" s="159">
        <v>3</v>
      </c>
      <c r="H242" s="159">
        <v>14</v>
      </c>
      <c r="I242" s="159">
        <v>7070</v>
      </c>
      <c r="J242" s="159">
        <v>4</v>
      </c>
      <c r="K242" s="159">
        <v>31</v>
      </c>
      <c r="L242" s="142">
        <v>6200</v>
      </c>
      <c r="M242" s="159">
        <v>4</v>
      </c>
      <c r="N242" s="159">
        <v>23</v>
      </c>
      <c r="O242" s="143">
        <v>4600</v>
      </c>
      <c r="P242" s="159">
        <v>20</v>
      </c>
      <c r="Q242" s="143">
        <v>42870</v>
      </c>
      <c r="R242" s="159">
        <v>7000</v>
      </c>
      <c r="S242" s="159">
        <v>20</v>
      </c>
      <c r="T242" s="159">
        <v>42870</v>
      </c>
      <c r="U242" s="159">
        <f t="shared" si="3"/>
        <v>34296</v>
      </c>
    </row>
    <row r="243" spans="1:21" x14ac:dyDescent="0.25">
      <c r="A243" s="159" t="s">
        <v>255</v>
      </c>
      <c r="B243" s="158" t="s">
        <v>665</v>
      </c>
      <c r="C243" s="159" t="s">
        <v>1008</v>
      </c>
      <c r="D243" s="159">
        <v>383</v>
      </c>
      <c r="E243" s="142">
        <v>2221</v>
      </c>
      <c r="F243" s="159">
        <v>888400</v>
      </c>
      <c r="G243" s="159">
        <v>64</v>
      </c>
      <c r="H243" s="159">
        <v>288</v>
      </c>
      <c r="I243" s="159">
        <v>145440</v>
      </c>
      <c r="J243" s="159">
        <v>19</v>
      </c>
      <c r="K243" s="159">
        <v>95</v>
      </c>
      <c r="L243" s="142">
        <v>19000</v>
      </c>
      <c r="M243" s="159">
        <v>19</v>
      </c>
      <c r="N243" s="159">
        <v>95</v>
      </c>
      <c r="O243" s="143">
        <v>19000</v>
      </c>
      <c r="P243" s="159">
        <v>485</v>
      </c>
      <c r="Q243" s="143">
        <v>1183840</v>
      </c>
      <c r="R243" s="159">
        <v>112000</v>
      </c>
      <c r="S243" s="159">
        <v>485</v>
      </c>
      <c r="T243" s="159">
        <v>1183840</v>
      </c>
      <c r="U243" s="159">
        <f t="shared" si="3"/>
        <v>947072</v>
      </c>
    </row>
    <row r="244" spans="1:21" x14ac:dyDescent="0.25">
      <c r="A244" s="159" t="s">
        <v>666</v>
      </c>
      <c r="B244" s="158" t="s">
        <v>667</v>
      </c>
      <c r="C244" s="159" t="s">
        <v>1009</v>
      </c>
      <c r="D244" s="159">
        <v>1</v>
      </c>
      <c r="E244" s="142">
        <v>6</v>
      </c>
      <c r="F244" s="159">
        <v>2400</v>
      </c>
      <c r="G244" s="159">
        <v>3</v>
      </c>
      <c r="H244" s="159">
        <v>14</v>
      </c>
      <c r="I244" s="159">
        <v>7070</v>
      </c>
      <c r="J244" s="159">
        <v>3</v>
      </c>
      <c r="K244" s="159">
        <v>100</v>
      </c>
      <c r="L244" s="142">
        <v>20000</v>
      </c>
      <c r="M244" s="159">
        <v>8</v>
      </c>
      <c r="N244" s="159">
        <v>215</v>
      </c>
      <c r="O244" s="143">
        <v>43000</v>
      </c>
      <c r="P244" s="159">
        <v>15</v>
      </c>
      <c r="Q244" s="143">
        <v>77720</v>
      </c>
      <c r="R244" s="159">
        <v>5250</v>
      </c>
      <c r="S244" s="159">
        <v>15</v>
      </c>
      <c r="T244" s="159">
        <v>77720</v>
      </c>
      <c r="U244" s="159">
        <f t="shared" si="3"/>
        <v>62176</v>
      </c>
    </row>
    <row r="245" spans="1:21" x14ac:dyDescent="0.25">
      <c r="A245" s="159" t="s">
        <v>256</v>
      </c>
      <c r="B245" s="158" t="s">
        <v>668</v>
      </c>
      <c r="C245" s="159" t="s">
        <v>1010</v>
      </c>
      <c r="D245" s="159">
        <v>25</v>
      </c>
      <c r="E245" s="142">
        <v>125</v>
      </c>
      <c r="F245" s="159">
        <v>50000</v>
      </c>
      <c r="G245" s="159">
        <v>0</v>
      </c>
      <c r="H245" s="159">
        <v>0</v>
      </c>
      <c r="I245" s="159">
        <v>0</v>
      </c>
      <c r="J245" s="159">
        <v>6</v>
      </c>
      <c r="K245" s="159">
        <v>30</v>
      </c>
      <c r="L245" s="142">
        <v>6000</v>
      </c>
      <c r="M245" s="159">
        <v>2</v>
      </c>
      <c r="N245" s="159">
        <v>10</v>
      </c>
      <c r="O245" s="143">
        <v>2000</v>
      </c>
      <c r="P245" s="159">
        <v>33</v>
      </c>
      <c r="Q245" s="143">
        <v>69550</v>
      </c>
      <c r="R245" s="159">
        <v>11550</v>
      </c>
      <c r="S245" s="159">
        <v>33</v>
      </c>
      <c r="T245" s="159">
        <v>69550</v>
      </c>
      <c r="U245" s="159">
        <f t="shared" si="3"/>
        <v>55640</v>
      </c>
    </row>
    <row r="246" spans="1:21" x14ac:dyDescent="0.25">
      <c r="A246" s="159" t="s">
        <v>257</v>
      </c>
      <c r="B246" s="158" t="s">
        <v>669</v>
      </c>
      <c r="C246" s="159" t="s">
        <v>1011</v>
      </c>
      <c r="D246" s="159">
        <v>26</v>
      </c>
      <c r="E246" s="142">
        <v>130</v>
      </c>
      <c r="F246" s="159">
        <v>52000</v>
      </c>
      <c r="G246" s="159">
        <v>0</v>
      </c>
      <c r="H246" s="159">
        <v>0</v>
      </c>
      <c r="I246" s="159">
        <v>0</v>
      </c>
      <c r="J246" s="159">
        <v>20</v>
      </c>
      <c r="K246" s="159">
        <v>80</v>
      </c>
      <c r="L246" s="142">
        <v>16000</v>
      </c>
      <c r="M246" s="159">
        <v>8</v>
      </c>
      <c r="N246" s="159">
        <v>40</v>
      </c>
      <c r="O246" s="143">
        <v>8000</v>
      </c>
      <c r="P246" s="159">
        <v>54</v>
      </c>
      <c r="Q246" s="143">
        <v>94900</v>
      </c>
      <c r="R246" s="159">
        <v>18900</v>
      </c>
      <c r="S246" s="159">
        <v>54</v>
      </c>
      <c r="T246" s="159">
        <v>94900</v>
      </c>
      <c r="U246" s="159">
        <f t="shared" si="3"/>
        <v>75920</v>
      </c>
    </row>
    <row r="247" spans="1:21" x14ac:dyDescent="0.25">
      <c r="A247" s="159" t="s">
        <v>1013</v>
      </c>
      <c r="B247" s="158" t="s">
        <v>1135</v>
      </c>
      <c r="C247" s="159" t="s">
        <v>1012</v>
      </c>
      <c r="D247" s="159">
        <v>2</v>
      </c>
      <c r="E247" s="142">
        <v>12</v>
      </c>
      <c r="F247" s="159">
        <v>4800</v>
      </c>
      <c r="G247" s="159">
        <v>0</v>
      </c>
      <c r="H247" s="159">
        <v>0</v>
      </c>
      <c r="I247" s="159">
        <v>0</v>
      </c>
      <c r="J247" s="159">
        <v>2</v>
      </c>
      <c r="K247" s="159">
        <v>10</v>
      </c>
      <c r="L247" s="142">
        <v>2000</v>
      </c>
      <c r="M247" s="159">
        <v>0</v>
      </c>
      <c r="N247" s="159">
        <v>0</v>
      </c>
      <c r="O247" s="143">
        <v>0</v>
      </c>
      <c r="P247" s="159">
        <v>4</v>
      </c>
      <c r="Q247" s="143">
        <v>8200</v>
      </c>
      <c r="R247" s="159">
        <v>1400</v>
      </c>
      <c r="S247" s="159">
        <v>4</v>
      </c>
      <c r="T247" s="159">
        <v>8200</v>
      </c>
      <c r="U247" s="159">
        <f t="shared" si="3"/>
        <v>6560</v>
      </c>
    </row>
    <row r="248" spans="1:21" x14ac:dyDescent="0.25">
      <c r="A248" s="159" t="s">
        <v>258</v>
      </c>
      <c r="B248" s="158" t="s">
        <v>482</v>
      </c>
      <c r="C248" s="159" t="s">
        <v>1014</v>
      </c>
      <c r="D248" s="159">
        <v>54</v>
      </c>
      <c r="E248" s="142">
        <v>270</v>
      </c>
      <c r="F248" s="159">
        <v>108000</v>
      </c>
      <c r="G248" s="159">
        <v>7</v>
      </c>
      <c r="H248" s="159">
        <v>21</v>
      </c>
      <c r="I248" s="159">
        <v>10605</v>
      </c>
      <c r="J248" s="159">
        <v>3</v>
      </c>
      <c r="K248" s="159">
        <v>15</v>
      </c>
      <c r="L248" s="142">
        <v>3000</v>
      </c>
      <c r="M248" s="159">
        <v>3</v>
      </c>
      <c r="N248" s="159">
        <v>21</v>
      </c>
      <c r="O248" s="143">
        <v>4200</v>
      </c>
      <c r="P248" s="159">
        <v>67</v>
      </c>
      <c r="Q248" s="143">
        <v>149255</v>
      </c>
      <c r="R248" s="159">
        <v>23450</v>
      </c>
      <c r="S248" s="159">
        <v>67</v>
      </c>
      <c r="T248" s="159">
        <v>149255</v>
      </c>
      <c r="U248" s="159">
        <f t="shared" si="3"/>
        <v>119404</v>
      </c>
    </row>
    <row r="249" spans="1:21" x14ac:dyDescent="0.25">
      <c r="A249" s="159" t="s">
        <v>259</v>
      </c>
      <c r="B249" s="158" t="s">
        <v>670</v>
      </c>
      <c r="C249" s="159" t="s">
        <v>1015</v>
      </c>
      <c r="D249" s="159">
        <v>34</v>
      </c>
      <c r="E249" s="142">
        <v>170</v>
      </c>
      <c r="F249" s="159">
        <v>68000</v>
      </c>
      <c r="G249" s="159">
        <v>7</v>
      </c>
      <c r="H249" s="159">
        <v>34</v>
      </c>
      <c r="I249" s="159">
        <v>17170</v>
      </c>
      <c r="J249" s="159">
        <v>5</v>
      </c>
      <c r="K249" s="159">
        <v>35</v>
      </c>
      <c r="L249" s="142">
        <v>7000</v>
      </c>
      <c r="M249" s="159">
        <v>6</v>
      </c>
      <c r="N249" s="159">
        <v>36</v>
      </c>
      <c r="O249" s="143">
        <v>7200</v>
      </c>
      <c r="P249" s="159">
        <v>52</v>
      </c>
      <c r="Q249" s="143">
        <v>117570</v>
      </c>
      <c r="R249" s="159">
        <v>18200</v>
      </c>
      <c r="S249" s="159">
        <v>52</v>
      </c>
      <c r="T249" s="159">
        <v>117570</v>
      </c>
      <c r="U249" s="159">
        <f t="shared" si="3"/>
        <v>94056</v>
      </c>
    </row>
    <row r="250" spans="1:21" x14ac:dyDescent="0.25">
      <c r="A250" s="159" t="s">
        <v>260</v>
      </c>
      <c r="B250" s="158" t="s">
        <v>671</v>
      </c>
      <c r="C250" s="159" t="s">
        <v>1016</v>
      </c>
      <c r="D250" s="159">
        <v>865</v>
      </c>
      <c r="E250" s="142">
        <v>4844</v>
      </c>
      <c r="F250" s="159">
        <v>1937600</v>
      </c>
      <c r="G250" s="159">
        <v>126</v>
      </c>
      <c r="H250" s="159">
        <v>504</v>
      </c>
      <c r="I250" s="159">
        <v>254520</v>
      </c>
      <c r="J250" s="159">
        <v>45</v>
      </c>
      <c r="K250" s="159">
        <v>300</v>
      </c>
      <c r="L250" s="142">
        <v>60000</v>
      </c>
      <c r="M250" s="159">
        <v>45</v>
      </c>
      <c r="N250" s="159">
        <v>300</v>
      </c>
      <c r="O250" s="143">
        <v>60000</v>
      </c>
      <c r="P250" s="159">
        <v>1081</v>
      </c>
      <c r="Q250" s="143">
        <v>2543320</v>
      </c>
      <c r="R250" s="159">
        <v>231200</v>
      </c>
      <c r="S250" s="159">
        <v>1081</v>
      </c>
      <c r="T250" s="159">
        <v>2543320</v>
      </c>
      <c r="U250" s="159">
        <f t="shared" si="3"/>
        <v>2034656</v>
      </c>
    </row>
    <row r="251" spans="1:21" x14ac:dyDescent="0.25">
      <c r="A251" s="159" t="s">
        <v>261</v>
      </c>
      <c r="B251" s="158" t="s">
        <v>672</v>
      </c>
      <c r="C251" s="159" t="s">
        <v>1017</v>
      </c>
      <c r="D251" s="159">
        <v>1184</v>
      </c>
      <c r="E251" s="142">
        <v>6867</v>
      </c>
      <c r="F251" s="159">
        <v>2746800</v>
      </c>
      <c r="G251" s="159">
        <v>180</v>
      </c>
      <c r="H251" s="159">
        <v>864</v>
      </c>
      <c r="I251" s="159">
        <v>436320</v>
      </c>
      <c r="J251" s="159">
        <v>37</v>
      </c>
      <c r="K251" s="159">
        <v>333</v>
      </c>
      <c r="L251" s="142">
        <v>66600</v>
      </c>
      <c r="M251" s="159">
        <v>150</v>
      </c>
      <c r="N251" s="159">
        <v>1050</v>
      </c>
      <c r="O251" s="143">
        <v>210000</v>
      </c>
      <c r="P251" s="159">
        <v>1551</v>
      </c>
      <c r="Q251" s="143">
        <v>3784920</v>
      </c>
      <c r="R251" s="159">
        <v>325200</v>
      </c>
      <c r="S251" s="159">
        <v>1551</v>
      </c>
      <c r="T251" s="159">
        <v>3784920</v>
      </c>
      <c r="U251" s="159">
        <f t="shared" si="3"/>
        <v>3027936</v>
      </c>
    </row>
    <row r="252" spans="1:21" x14ac:dyDescent="0.25">
      <c r="A252" s="159" t="s">
        <v>262</v>
      </c>
      <c r="B252" s="158" t="s">
        <v>483</v>
      </c>
      <c r="C252" s="159" t="s">
        <v>1018</v>
      </c>
      <c r="D252" s="159">
        <v>17</v>
      </c>
      <c r="E252" s="142">
        <v>99</v>
      </c>
      <c r="F252" s="159">
        <v>39600</v>
      </c>
      <c r="G252" s="159">
        <v>2</v>
      </c>
      <c r="H252" s="159">
        <v>6</v>
      </c>
      <c r="I252" s="159">
        <v>3030</v>
      </c>
      <c r="J252" s="159">
        <v>6</v>
      </c>
      <c r="K252" s="159">
        <v>24</v>
      </c>
      <c r="L252" s="142">
        <v>4800</v>
      </c>
      <c r="M252" s="159">
        <v>2</v>
      </c>
      <c r="N252" s="159">
        <v>10</v>
      </c>
      <c r="O252" s="143">
        <v>2000</v>
      </c>
      <c r="P252" s="159">
        <v>27</v>
      </c>
      <c r="Q252" s="143">
        <v>58880</v>
      </c>
      <c r="R252" s="159">
        <v>9450</v>
      </c>
      <c r="S252" s="159">
        <v>27</v>
      </c>
      <c r="T252" s="159">
        <v>58880</v>
      </c>
      <c r="U252" s="159">
        <f t="shared" si="3"/>
        <v>47104</v>
      </c>
    </row>
    <row r="253" spans="1:21" x14ac:dyDescent="0.25">
      <c r="A253" s="159" t="s">
        <v>263</v>
      </c>
      <c r="B253" s="158" t="s">
        <v>484</v>
      </c>
      <c r="C253" s="159" t="s">
        <v>1019</v>
      </c>
      <c r="D253" s="159">
        <v>0</v>
      </c>
      <c r="E253" s="142">
        <v>0</v>
      </c>
      <c r="F253" s="159">
        <v>0</v>
      </c>
      <c r="G253" s="159">
        <v>0</v>
      </c>
      <c r="H253" s="159">
        <v>0</v>
      </c>
      <c r="I253" s="159">
        <v>0</v>
      </c>
      <c r="J253" s="159">
        <v>6</v>
      </c>
      <c r="K253" s="159">
        <v>30</v>
      </c>
      <c r="L253" s="142">
        <v>6000</v>
      </c>
      <c r="M253" s="159">
        <v>4</v>
      </c>
      <c r="N253" s="159">
        <v>20</v>
      </c>
      <c r="O253" s="143">
        <v>4000</v>
      </c>
      <c r="P253" s="159">
        <v>10</v>
      </c>
      <c r="Q253" s="143">
        <v>13500</v>
      </c>
      <c r="R253" s="159">
        <v>3500</v>
      </c>
      <c r="S253" s="159">
        <v>10</v>
      </c>
      <c r="T253" s="159">
        <v>13500</v>
      </c>
      <c r="U253" s="159">
        <f t="shared" si="3"/>
        <v>10800</v>
      </c>
    </row>
    <row r="254" spans="1:21" x14ac:dyDescent="0.25">
      <c r="A254" s="159" t="s">
        <v>264</v>
      </c>
      <c r="B254" s="158" t="s">
        <v>673</v>
      </c>
      <c r="C254" s="159" t="s">
        <v>1020</v>
      </c>
      <c r="D254" s="159">
        <v>236</v>
      </c>
      <c r="E254" s="142">
        <v>1062</v>
      </c>
      <c r="F254" s="159">
        <v>424800</v>
      </c>
      <c r="G254" s="159">
        <v>56</v>
      </c>
      <c r="H254" s="159">
        <v>269</v>
      </c>
      <c r="I254" s="159">
        <v>135845</v>
      </c>
      <c r="J254" s="159">
        <v>15</v>
      </c>
      <c r="K254" s="159">
        <v>60</v>
      </c>
      <c r="L254" s="142">
        <v>12000</v>
      </c>
      <c r="M254" s="159">
        <v>12</v>
      </c>
      <c r="N254" s="159">
        <v>60</v>
      </c>
      <c r="O254" s="143">
        <v>12000</v>
      </c>
      <c r="P254" s="159">
        <v>319</v>
      </c>
      <c r="Q254" s="143">
        <v>663445</v>
      </c>
      <c r="R254" s="159">
        <v>78800</v>
      </c>
      <c r="S254" s="159">
        <v>319</v>
      </c>
      <c r="T254" s="159">
        <v>663445</v>
      </c>
      <c r="U254" s="159">
        <f t="shared" si="3"/>
        <v>530756</v>
      </c>
    </row>
    <row r="255" spans="1:21" x14ac:dyDescent="0.25">
      <c r="A255" s="159" t="s">
        <v>265</v>
      </c>
      <c r="B255" s="158" t="s">
        <v>674</v>
      </c>
      <c r="C255" s="159" t="s">
        <v>1021</v>
      </c>
      <c r="D255" s="159">
        <v>40</v>
      </c>
      <c r="E255" s="142">
        <v>180</v>
      </c>
      <c r="F255" s="159">
        <v>72000</v>
      </c>
      <c r="G255" s="159">
        <v>16</v>
      </c>
      <c r="H255" s="159">
        <v>62</v>
      </c>
      <c r="I255" s="159">
        <v>31310</v>
      </c>
      <c r="J255" s="159">
        <v>13</v>
      </c>
      <c r="K255" s="159">
        <v>50</v>
      </c>
      <c r="L255" s="142">
        <v>10000</v>
      </c>
      <c r="M255" s="159">
        <v>7</v>
      </c>
      <c r="N255" s="159">
        <v>22</v>
      </c>
      <c r="O255" s="143">
        <v>4400</v>
      </c>
      <c r="P255" s="159">
        <v>76</v>
      </c>
      <c r="Q255" s="143">
        <v>144310</v>
      </c>
      <c r="R255" s="159">
        <v>26600</v>
      </c>
      <c r="S255" s="159">
        <v>76</v>
      </c>
      <c r="T255" s="159">
        <v>144310</v>
      </c>
      <c r="U255" s="159">
        <f t="shared" si="3"/>
        <v>115448</v>
      </c>
    </row>
    <row r="256" spans="1:21" x14ac:dyDescent="0.25">
      <c r="A256" s="159" t="s">
        <v>266</v>
      </c>
      <c r="B256" s="158" t="s">
        <v>675</v>
      </c>
      <c r="C256" s="159" t="s">
        <v>1022</v>
      </c>
      <c r="D256" s="159">
        <v>40</v>
      </c>
      <c r="E256" s="142">
        <v>120</v>
      </c>
      <c r="F256" s="159">
        <v>48000</v>
      </c>
      <c r="G256" s="159">
        <v>12</v>
      </c>
      <c r="H256" s="159">
        <v>36</v>
      </c>
      <c r="I256" s="159">
        <v>18180</v>
      </c>
      <c r="J256" s="159">
        <v>2</v>
      </c>
      <c r="K256" s="159">
        <v>14</v>
      </c>
      <c r="L256" s="142">
        <v>2800</v>
      </c>
      <c r="M256" s="159">
        <v>1</v>
      </c>
      <c r="N256" s="159">
        <v>7</v>
      </c>
      <c r="O256" s="143">
        <v>1400</v>
      </c>
      <c r="P256" s="159">
        <v>55</v>
      </c>
      <c r="Q256" s="143">
        <v>89630</v>
      </c>
      <c r="R256" s="159">
        <v>19250</v>
      </c>
      <c r="S256" s="159">
        <v>55</v>
      </c>
      <c r="T256" s="159">
        <v>89630</v>
      </c>
      <c r="U256" s="159">
        <f t="shared" si="3"/>
        <v>71704</v>
      </c>
    </row>
    <row r="257" spans="1:21" x14ac:dyDescent="0.25">
      <c r="A257" s="159" t="s">
        <v>267</v>
      </c>
      <c r="B257" s="158" t="s">
        <v>676</v>
      </c>
      <c r="C257" s="159" t="s">
        <v>1023</v>
      </c>
      <c r="D257" s="159">
        <v>9</v>
      </c>
      <c r="E257" s="142">
        <v>40</v>
      </c>
      <c r="F257" s="159">
        <v>16000</v>
      </c>
      <c r="G257" s="159">
        <v>13</v>
      </c>
      <c r="H257" s="159">
        <v>46</v>
      </c>
      <c r="I257" s="159">
        <v>23230</v>
      </c>
      <c r="J257" s="159">
        <v>2</v>
      </c>
      <c r="K257" s="159">
        <v>10</v>
      </c>
      <c r="L257" s="142">
        <v>2000</v>
      </c>
      <c r="M257" s="159">
        <v>1</v>
      </c>
      <c r="N257" s="159">
        <v>10</v>
      </c>
      <c r="O257" s="143">
        <v>2000</v>
      </c>
      <c r="P257" s="159">
        <v>25</v>
      </c>
      <c r="Q257" s="143">
        <v>51980</v>
      </c>
      <c r="R257" s="159">
        <v>8750</v>
      </c>
      <c r="S257" s="159">
        <v>25</v>
      </c>
      <c r="T257" s="159">
        <v>51980</v>
      </c>
      <c r="U257" s="159">
        <f t="shared" si="3"/>
        <v>41584</v>
      </c>
    </row>
    <row r="258" spans="1:21" x14ac:dyDescent="0.25">
      <c r="A258" s="159" t="s">
        <v>268</v>
      </c>
      <c r="B258" s="158" t="s">
        <v>677</v>
      </c>
      <c r="C258" s="159" t="s">
        <v>1024</v>
      </c>
      <c r="D258" s="159">
        <v>15</v>
      </c>
      <c r="E258" s="142">
        <v>60</v>
      </c>
      <c r="F258" s="159">
        <v>24000</v>
      </c>
      <c r="G258" s="159">
        <v>20</v>
      </c>
      <c r="H258" s="159">
        <v>96</v>
      </c>
      <c r="I258" s="159">
        <v>48480</v>
      </c>
      <c r="J258" s="159">
        <v>3</v>
      </c>
      <c r="K258" s="159">
        <v>21</v>
      </c>
      <c r="L258" s="142">
        <v>4200</v>
      </c>
      <c r="M258" s="159">
        <v>3</v>
      </c>
      <c r="N258" s="159">
        <v>21</v>
      </c>
      <c r="O258" s="143">
        <v>4200</v>
      </c>
      <c r="P258" s="159">
        <v>41</v>
      </c>
      <c r="Q258" s="143">
        <v>95230</v>
      </c>
      <c r="R258" s="159">
        <v>14350</v>
      </c>
      <c r="S258" s="159">
        <v>41</v>
      </c>
      <c r="T258" s="159">
        <v>95230</v>
      </c>
      <c r="U258" s="159">
        <f t="shared" si="3"/>
        <v>76184</v>
      </c>
    </row>
    <row r="259" spans="1:21" x14ac:dyDescent="0.25">
      <c r="A259" s="159" t="s">
        <v>269</v>
      </c>
      <c r="B259" s="158" t="s">
        <v>485</v>
      </c>
      <c r="C259" s="159" t="s">
        <v>1025</v>
      </c>
      <c r="D259" s="159">
        <v>24</v>
      </c>
      <c r="E259" s="142">
        <v>96</v>
      </c>
      <c r="F259" s="159">
        <v>38400</v>
      </c>
      <c r="G259" s="159">
        <v>2</v>
      </c>
      <c r="H259" s="159">
        <v>6</v>
      </c>
      <c r="I259" s="159">
        <v>3030</v>
      </c>
      <c r="J259" s="159">
        <v>2</v>
      </c>
      <c r="K259" s="159">
        <v>10</v>
      </c>
      <c r="L259" s="142">
        <v>2000</v>
      </c>
      <c r="M259" s="159">
        <v>4</v>
      </c>
      <c r="N259" s="159">
        <v>17</v>
      </c>
      <c r="O259" s="143">
        <v>3400</v>
      </c>
      <c r="P259" s="159">
        <v>32</v>
      </c>
      <c r="Q259" s="143">
        <v>58030</v>
      </c>
      <c r="R259" s="159">
        <v>11200</v>
      </c>
      <c r="S259" s="159">
        <v>32</v>
      </c>
      <c r="T259" s="159">
        <v>58030</v>
      </c>
      <c r="U259" s="159">
        <f t="shared" si="3"/>
        <v>46424</v>
      </c>
    </row>
    <row r="260" spans="1:21" x14ac:dyDescent="0.25">
      <c r="A260" s="159" t="s">
        <v>270</v>
      </c>
      <c r="B260" s="158" t="s">
        <v>678</v>
      </c>
      <c r="C260" s="159" t="s">
        <v>1026</v>
      </c>
      <c r="D260" s="159">
        <v>4</v>
      </c>
      <c r="E260" s="142">
        <v>20</v>
      </c>
      <c r="F260" s="159">
        <v>8000</v>
      </c>
      <c r="G260" s="159">
        <v>6</v>
      </c>
      <c r="H260" s="159">
        <v>14</v>
      </c>
      <c r="I260" s="159">
        <v>7070</v>
      </c>
      <c r="J260" s="159">
        <v>0</v>
      </c>
      <c r="K260" s="159">
        <v>0</v>
      </c>
      <c r="L260" s="142">
        <v>0</v>
      </c>
      <c r="M260" s="159">
        <v>3</v>
      </c>
      <c r="N260" s="159">
        <v>15</v>
      </c>
      <c r="O260" s="143">
        <v>3000</v>
      </c>
      <c r="P260" s="159">
        <v>13</v>
      </c>
      <c r="Q260" s="143">
        <v>22620</v>
      </c>
      <c r="R260" s="159">
        <v>4550</v>
      </c>
      <c r="S260" s="159">
        <v>13</v>
      </c>
      <c r="T260" s="159">
        <v>22620</v>
      </c>
      <c r="U260" s="159">
        <f t="shared" ref="U260:U323" si="4">T260*0.8</f>
        <v>18096</v>
      </c>
    </row>
    <row r="261" spans="1:21" x14ac:dyDescent="0.25">
      <c r="A261" s="159" t="s">
        <v>679</v>
      </c>
      <c r="B261" s="158" t="s">
        <v>680</v>
      </c>
      <c r="C261" s="159" t="s">
        <v>1027</v>
      </c>
      <c r="D261" s="159">
        <v>8</v>
      </c>
      <c r="E261" s="142">
        <v>40</v>
      </c>
      <c r="F261" s="159">
        <v>16000</v>
      </c>
      <c r="G261" s="159">
        <v>8</v>
      </c>
      <c r="H261" s="159">
        <v>24</v>
      </c>
      <c r="I261" s="159">
        <v>12120</v>
      </c>
      <c r="J261" s="159">
        <v>9</v>
      </c>
      <c r="K261" s="159">
        <v>54</v>
      </c>
      <c r="L261" s="142">
        <v>10800</v>
      </c>
      <c r="M261" s="159">
        <v>3</v>
      </c>
      <c r="N261" s="159">
        <v>15</v>
      </c>
      <c r="O261" s="143">
        <v>3000</v>
      </c>
      <c r="P261" s="159">
        <v>28</v>
      </c>
      <c r="Q261" s="143">
        <v>51720</v>
      </c>
      <c r="R261" s="159">
        <v>9800</v>
      </c>
      <c r="S261" s="159">
        <v>28</v>
      </c>
      <c r="T261" s="159">
        <v>51720</v>
      </c>
      <c r="U261" s="159">
        <f t="shared" si="4"/>
        <v>41376</v>
      </c>
    </row>
    <row r="262" spans="1:21" x14ac:dyDescent="0.25">
      <c r="A262" s="159" t="s">
        <v>1029</v>
      </c>
      <c r="B262" s="158" t="s">
        <v>1136</v>
      </c>
      <c r="C262" s="159" t="s">
        <v>1028</v>
      </c>
      <c r="D262" s="159">
        <v>20</v>
      </c>
      <c r="E262" s="142">
        <v>100</v>
      </c>
      <c r="F262" s="159">
        <v>40000</v>
      </c>
      <c r="G262" s="159">
        <v>0</v>
      </c>
      <c r="H262" s="159">
        <v>0</v>
      </c>
      <c r="I262" s="159">
        <v>0</v>
      </c>
      <c r="J262" s="159">
        <v>0</v>
      </c>
      <c r="K262" s="159">
        <v>0</v>
      </c>
      <c r="L262" s="142">
        <v>0</v>
      </c>
      <c r="M262" s="159">
        <v>3</v>
      </c>
      <c r="N262" s="159">
        <v>15</v>
      </c>
      <c r="O262" s="143">
        <v>3000</v>
      </c>
      <c r="P262" s="159">
        <v>23</v>
      </c>
      <c r="Q262" s="143">
        <v>51050</v>
      </c>
      <c r="R262" s="159">
        <v>8050</v>
      </c>
      <c r="S262" s="159">
        <v>23</v>
      </c>
      <c r="T262" s="159">
        <v>51050</v>
      </c>
      <c r="U262" s="159">
        <f t="shared" si="4"/>
        <v>40840</v>
      </c>
    </row>
    <row r="263" spans="1:21" x14ac:dyDescent="0.25">
      <c r="A263" s="159" t="s">
        <v>271</v>
      </c>
      <c r="B263" s="158" t="s">
        <v>681</v>
      </c>
      <c r="C263" s="159" t="s">
        <v>1030</v>
      </c>
      <c r="D263" s="159">
        <v>1000</v>
      </c>
      <c r="E263" s="142">
        <v>4500</v>
      </c>
      <c r="F263" s="159">
        <v>1800000</v>
      </c>
      <c r="G263" s="159">
        <v>230</v>
      </c>
      <c r="H263" s="159">
        <v>805</v>
      </c>
      <c r="I263" s="159">
        <v>406525</v>
      </c>
      <c r="J263" s="159">
        <v>35</v>
      </c>
      <c r="K263" s="159">
        <v>210</v>
      </c>
      <c r="L263" s="142">
        <v>42000</v>
      </c>
      <c r="M263" s="159">
        <v>45</v>
      </c>
      <c r="N263" s="159">
        <v>270</v>
      </c>
      <c r="O263" s="143">
        <v>54000</v>
      </c>
      <c r="P263" s="159">
        <v>1310</v>
      </c>
      <c r="Q263" s="143">
        <v>2579525</v>
      </c>
      <c r="R263" s="159">
        <v>277000</v>
      </c>
      <c r="S263" s="159">
        <v>1310</v>
      </c>
      <c r="T263" s="159">
        <v>2579525</v>
      </c>
      <c r="U263" s="159">
        <f t="shared" si="4"/>
        <v>2063620</v>
      </c>
    </row>
    <row r="264" spans="1:21" x14ac:dyDescent="0.25">
      <c r="A264" s="159" t="s">
        <v>272</v>
      </c>
      <c r="B264" s="158" t="s">
        <v>682</v>
      </c>
      <c r="C264" s="159" t="s">
        <v>1031</v>
      </c>
      <c r="D264" s="159">
        <v>158</v>
      </c>
      <c r="E264" s="142">
        <v>895</v>
      </c>
      <c r="F264" s="159">
        <v>358000</v>
      </c>
      <c r="G264" s="159">
        <v>59</v>
      </c>
      <c r="H264" s="159">
        <v>275</v>
      </c>
      <c r="I264" s="159">
        <v>138875</v>
      </c>
      <c r="J264" s="159">
        <v>20</v>
      </c>
      <c r="K264" s="159">
        <v>140</v>
      </c>
      <c r="L264" s="142">
        <v>28000</v>
      </c>
      <c r="M264" s="159">
        <v>16</v>
      </c>
      <c r="N264" s="159">
        <v>112</v>
      </c>
      <c r="O264" s="143">
        <v>22400</v>
      </c>
      <c r="P264" s="159">
        <v>253</v>
      </c>
      <c r="Q264" s="143">
        <v>612875</v>
      </c>
      <c r="R264" s="159">
        <v>65600</v>
      </c>
      <c r="S264" s="159">
        <v>253</v>
      </c>
      <c r="T264" s="159">
        <v>612875</v>
      </c>
      <c r="U264" s="159">
        <f t="shared" si="4"/>
        <v>490300</v>
      </c>
    </row>
    <row r="265" spans="1:21" x14ac:dyDescent="0.25">
      <c r="A265" s="159" t="s">
        <v>683</v>
      </c>
      <c r="B265" s="158" t="s">
        <v>684</v>
      </c>
      <c r="C265" s="159" t="s">
        <v>1032</v>
      </c>
      <c r="D265" s="159">
        <v>0</v>
      </c>
      <c r="E265" s="142">
        <v>0</v>
      </c>
      <c r="F265" s="159">
        <v>0</v>
      </c>
      <c r="G265" s="159">
        <v>3</v>
      </c>
      <c r="H265" s="159">
        <v>6</v>
      </c>
      <c r="I265" s="159">
        <v>3030</v>
      </c>
      <c r="J265" s="159">
        <v>21</v>
      </c>
      <c r="K265" s="159">
        <v>105</v>
      </c>
      <c r="L265" s="142">
        <v>21000</v>
      </c>
      <c r="M265" s="159">
        <v>18</v>
      </c>
      <c r="N265" s="159">
        <v>108</v>
      </c>
      <c r="O265" s="143">
        <v>21600</v>
      </c>
      <c r="P265" s="159">
        <v>42</v>
      </c>
      <c r="Q265" s="143">
        <v>60330</v>
      </c>
      <c r="R265" s="159">
        <v>14700</v>
      </c>
      <c r="S265" s="159">
        <v>42</v>
      </c>
      <c r="T265" s="159">
        <v>60330</v>
      </c>
      <c r="U265" s="159">
        <f t="shared" si="4"/>
        <v>48264</v>
      </c>
    </row>
    <row r="266" spans="1:21" x14ac:dyDescent="0.25">
      <c r="A266" s="159" t="s">
        <v>273</v>
      </c>
      <c r="B266" s="158" t="s">
        <v>685</v>
      </c>
      <c r="C266" s="159" t="s">
        <v>1033</v>
      </c>
      <c r="D266" s="159">
        <v>9</v>
      </c>
      <c r="E266" s="142">
        <v>36</v>
      </c>
      <c r="F266" s="159">
        <v>14400</v>
      </c>
      <c r="G266" s="159">
        <v>10</v>
      </c>
      <c r="H266" s="159">
        <v>40</v>
      </c>
      <c r="I266" s="159">
        <v>20200</v>
      </c>
      <c r="J266" s="159">
        <v>4</v>
      </c>
      <c r="K266" s="159">
        <v>20</v>
      </c>
      <c r="L266" s="142">
        <v>4000</v>
      </c>
      <c r="M266" s="159">
        <v>4</v>
      </c>
      <c r="N266" s="159">
        <v>20</v>
      </c>
      <c r="O266" s="143">
        <v>4000</v>
      </c>
      <c r="P266" s="159">
        <v>27</v>
      </c>
      <c r="Q266" s="143">
        <v>52050</v>
      </c>
      <c r="R266" s="159">
        <v>9450</v>
      </c>
      <c r="S266" s="159">
        <v>27</v>
      </c>
      <c r="T266" s="159">
        <v>52050</v>
      </c>
      <c r="U266" s="159">
        <f t="shared" si="4"/>
        <v>41640</v>
      </c>
    </row>
    <row r="267" spans="1:21" x14ac:dyDescent="0.25">
      <c r="A267" s="159" t="s">
        <v>274</v>
      </c>
      <c r="B267" s="158" t="s">
        <v>486</v>
      </c>
      <c r="C267" s="159" t="s">
        <v>1034</v>
      </c>
      <c r="D267" s="159">
        <v>0</v>
      </c>
      <c r="E267" s="142">
        <v>0</v>
      </c>
      <c r="F267" s="159">
        <v>0</v>
      </c>
      <c r="G267" s="159">
        <v>13</v>
      </c>
      <c r="H267" s="159">
        <v>26</v>
      </c>
      <c r="I267" s="159">
        <v>13130</v>
      </c>
      <c r="J267" s="159">
        <v>4</v>
      </c>
      <c r="K267" s="159">
        <v>24</v>
      </c>
      <c r="L267" s="142">
        <v>4800</v>
      </c>
      <c r="M267" s="159">
        <v>6</v>
      </c>
      <c r="N267" s="159">
        <v>36</v>
      </c>
      <c r="O267" s="143">
        <v>7200</v>
      </c>
      <c r="P267" s="159">
        <v>23</v>
      </c>
      <c r="Q267" s="143">
        <v>33180</v>
      </c>
      <c r="R267" s="159">
        <v>8050</v>
      </c>
      <c r="S267" s="159">
        <v>23</v>
      </c>
      <c r="T267" s="159">
        <v>33180</v>
      </c>
      <c r="U267" s="159">
        <f t="shared" si="4"/>
        <v>26544</v>
      </c>
    </row>
    <row r="268" spans="1:21" x14ac:dyDescent="0.25">
      <c r="A268" s="159" t="s">
        <v>275</v>
      </c>
      <c r="B268" s="158" t="s">
        <v>686</v>
      </c>
      <c r="C268" s="159" t="s">
        <v>1035</v>
      </c>
      <c r="D268" s="159">
        <v>35</v>
      </c>
      <c r="E268" s="142">
        <v>175</v>
      </c>
      <c r="F268" s="159">
        <v>70000</v>
      </c>
      <c r="G268" s="159">
        <v>10</v>
      </c>
      <c r="H268" s="159">
        <v>48</v>
      </c>
      <c r="I268" s="159">
        <v>24240</v>
      </c>
      <c r="J268" s="159">
        <v>23</v>
      </c>
      <c r="K268" s="159">
        <v>160</v>
      </c>
      <c r="L268" s="142">
        <v>32000</v>
      </c>
      <c r="M268" s="159">
        <v>12</v>
      </c>
      <c r="N268" s="159">
        <v>80</v>
      </c>
      <c r="O268" s="143">
        <v>16000</v>
      </c>
      <c r="P268" s="159">
        <v>80</v>
      </c>
      <c r="Q268" s="143">
        <v>170240</v>
      </c>
      <c r="R268" s="159">
        <v>28000</v>
      </c>
      <c r="S268" s="159">
        <v>80</v>
      </c>
      <c r="T268" s="159">
        <v>170240</v>
      </c>
      <c r="U268" s="159">
        <f t="shared" si="4"/>
        <v>136192</v>
      </c>
    </row>
    <row r="269" spans="1:21" x14ac:dyDescent="0.25">
      <c r="A269" s="159" t="s">
        <v>276</v>
      </c>
      <c r="B269" s="158" t="s">
        <v>487</v>
      </c>
      <c r="C269" s="159" t="s">
        <v>1036</v>
      </c>
      <c r="D269" s="159">
        <v>11</v>
      </c>
      <c r="E269" s="142">
        <v>44</v>
      </c>
      <c r="F269" s="159">
        <v>17600</v>
      </c>
      <c r="G269" s="159">
        <v>0</v>
      </c>
      <c r="H269" s="159">
        <v>0</v>
      </c>
      <c r="I269" s="159">
        <v>0</v>
      </c>
      <c r="J269" s="159">
        <v>0</v>
      </c>
      <c r="K269" s="159">
        <v>0</v>
      </c>
      <c r="L269" s="142">
        <v>0</v>
      </c>
      <c r="M269" s="159">
        <v>0</v>
      </c>
      <c r="N269" s="159">
        <v>0</v>
      </c>
      <c r="O269" s="143">
        <v>0</v>
      </c>
      <c r="P269" s="159">
        <v>11</v>
      </c>
      <c r="Q269" s="143">
        <v>21450</v>
      </c>
      <c r="R269" s="159">
        <v>3850</v>
      </c>
      <c r="S269" s="159">
        <v>11</v>
      </c>
      <c r="T269" s="159">
        <v>21450</v>
      </c>
      <c r="U269" s="159">
        <f t="shared" si="4"/>
        <v>17160</v>
      </c>
    </row>
    <row r="270" spans="1:21" x14ac:dyDescent="0.25">
      <c r="A270" s="159" t="s">
        <v>277</v>
      </c>
      <c r="B270" s="158" t="s">
        <v>687</v>
      </c>
      <c r="C270" s="159" t="s">
        <v>1037</v>
      </c>
      <c r="D270" s="159">
        <v>120</v>
      </c>
      <c r="E270" s="142">
        <v>600</v>
      </c>
      <c r="F270" s="159">
        <v>240000</v>
      </c>
      <c r="G270" s="159">
        <v>90</v>
      </c>
      <c r="H270" s="159">
        <v>432</v>
      </c>
      <c r="I270" s="159">
        <v>218160</v>
      </c>
      <c r="J270" s="159">
        <v>30</v>
      </c>
      <c r="K270" s="159">
        <v>150</v>
      </c>
      <c r="L270" s="142">
        <v>30000</v>
      </c>
      <c r="M270" s="159">
        <v>8</v>
      </c>
      <c r="N270" s="159">
        <v>40</v>
      </c>
      <c r="O270" s="143">
        <v>8000</v>
      </c>
      <c r="P270" s="159">
        <v>248</v>
      </c>
      <c r="Q270" s="143">
        <v>560760</v>
      </c>
      <c r="R270" s="159">
        <v>64600</v>
      </c>
      <c r="S270" s="159">
        <v>248</v>
      </c>
      <c r="T270" s="159">
        <v>560760</v>
      </c>
      <c r="U270" s="159">
        <f t="shared" si="4"/>
        <v>448608</v>
      </c>
    </row>
    <row r="271" spans="1:21" x14ac:dyDescent="0.25">
      <c r="A271" s="159" t="s">
        <v>278</v>
      </c>
      <c r="B271" s="158" t="s">
        <v>488</v>
      </c>
      <c r="C271" s="159" t="s">
        <v>1038</v>
      </c>
      <c r="D271" s="159">
        <v>2</v>
      </c>
      <c r="E271" s="142">
        <v>12</v>
      </c>
      <c r="F271" s="159">
        <v>4800</v>
      </c>
      <c r="G271" s="159">
        <v>5</v>
      </c>
      <c r="H271" s="159">
        <v>24</v>
      </c>
      <c r="I271" s="159">
        <v>12120</v>
      </c>
      <c r="J271" s="159">
        <v>4</v>
      </c>
      <c r="K271" s="159">
        <v>16</v>
      </c>
      <c r="L271" s="142">
        <v>3200</v>
      </c>
      <c r="M271" s="159">
        <v>3</v>
      </c>
      <c r="N271" s="159">
        <v>15</v>
      </c>
      <c r="O271" s="143">
        <v>3000</v>
      </c>
      <c r="P271" s="159">
        <v>14</v>
      </c>
      <c r="Q271" s="143">
        <v>28020</v>
      </c>
      <c r="R271" s="159">
        <v>4900</v>
      </c>
      <c r="S271" s="159">
        <v>14</v>
      </c>
      <c r="T271" s="159">
        <v>28020</v>
      </c>
      <c r="U271" s="159">
        <f t="shared" si="4"/>
        <v>22416</v>
      </c>
    </row>
    <row r="272" spans="1:21" x14ac:dyDescent="0.25">
      <c r="A272" s="159" t="s">
        <v>279</v>
      </c>
      <c r="B272" s="158" t="s">
        <v>688</v>
      </c>
      <c r="C272" s="159" t="s">
        <v>1039</v>
      </c>
      <c r="D272" s="159">
        <v>5</v>
      </c>
      <c r="E272" s="142">
        <v>20</v>
      </c>
      <c r="F272" s="159">
        <v>8000</v>
      </c>
      <c r="G272" s="159">
        <v>0</v>
      </c>
      <c r="H272" s="159">
        <v>0</v>
      </c>
      <c r="I272" s="159">
        <v>0</v>
      </c>
      <c r="J272" s="159">
        <v>7</v>
      </c>
      <c r="K272" s="159">
        <v>29</v>
      </c>
      <c r="L272" s="142">
        <v>5800</v>
      </c>
      <c r="M272" s="159">
        <v>2</v>
      </c>
      <c r="N272" s="159">
        <v>19</v>
      </c>
      <c r="O272" s="143">
        <v>3800</v>
      </c>
      <c r="P272" s="159">
        <v>14</v>
      </c>
      <c r="Q272" s="143">
        <v>22500</v>
      </c>
      <c r="R272" s="159">
        <v>4900</v>
      </c>
      <c r="S272" s="159">
        <v>14</v>
      </c>
      <c r="T272" s="159">
        <v>22500</v>
      </c>
      <c r="U272" s="159">
        <f t="shared" si="4"/>
        <v>18000</v>
      </c>
    </row>
    <row r="273" spans="1:21" x14ac:dyDescent="0.25">
      <c r="A273" s="159" t="s">
        <v>280</v>
      </c>
      <c r="B273" s="158" t="s">
        <v>281</v>
      </c>
      <c r="C273" s="159" t="s">
        <v>1040</v>
      </c>
      <c r="D273" s="159">
        <v>0</v>
      </c>
      <c r="E273" s="142">
        <v>0</v>
      </c>
      <c r="F273" s="159">
        <v>0</v>
      </c>
      <c r="G273" s="159">
        <v>2</v>
      </c>
      <c r="H273" s="159">
        <v>6</v>
      </c>
      <c r="I273" s="159">
        <v>3030</v>
      </c>
      <c r="J273" s="159">
        <v>2</v>
      </c>
      <c r="K273" s="159">
        <v>4</v>
      </c>
      <c r="L273" s="142">
        <v>800</v>
      </c>
      <c r="M273" s="159">
        <v>1</v>
      </c>
      <c r="N273" s="159">
        <v>5</v>
      </c>
      <c r="O273" s="143">
        <v>1000</v>
      </c>
      <c r="P273" s="159">
        <v>5</v>
      </c>
      <c r="Q273" s="143">
        <v>6580</v>
      </c>
      <c r="R273" s="159">
        <v>1750</v>
      </c>
      <c r="S273" s="159">
        <v>5</v>
      </c>
      <c r="T273" s="159">
        <v>6580</v>
      </c>
      <c r="U273" s="159">
        <f t="shared" si="4"/>
        <v>5264</v>
      </c>
    </row>
    <row r="274" spans="1:21" x14ac:dyDescent="0.25">
      <c r="A274" s="159" t="s">
        <v>282</v>
      </c>
      <c r="B274" s="158" t="s">
        <v>689</v>
      </c>
      <c r="C274" s="159" t="s">
        <v>1041</v>
      </c>
      <c r="D274" s="159">
        <v>100</v>
      </c>
      <c r="E274" s="142">
        <v>580</v>
      </c>
      <c r="F274" s="159">
        <v>232000</v>
      </c>
      <c r="G274" s="159">
        <v>0</v>
      </c>
      <c r="H274" s="159">
        <v>0</v>
      </c>
      <c r="I274" s="159">
        <v>0</v>
      </c>
      <c r="J274" s="159">
        <v>22</v>
      </c>
      <c r="K274" s="159">
        <v>110</v>
      </c>
      <c r="L274" s="142">
        <v>22000</v>
      </c>
      <c r="M274" s="159">
        <v>40</v>
      </c>
      <c r="N274" s="159">
        <v>240</v>
      </c>
      <c r="O274" s="143">
        <v>48000</v>
      </c>
      <c r="P274" s="159">
        <v>162</v>
      </c>
      <c r="Q274" s="143">
        <v>349400</v>
      </c>
      <c r="R274" s="159">
        <v>47400</v>
      </c>
      <c r="S274" s="159">
        <v>162</v>
      </c>
      <c r="T274" s="159">
        <v>349400</v>
      </c>
      <c r="U274" s="159">
        <f t="shared" si="4"/>
        <v>279520</v>
      </c>
    </row>
    <row r="275" spans="1:21" x14ac:dyDescent="0.25">
      <c r="A275" s="159" t="s">
        <v>283</v>
      </c>
      <c r="B275" s="158" t="s">
        <v>489</v>
      </c>
      <c r="C275" s="159" t="s">
        <v>1042</v>
      </c>
      <c r="D275" s="159">
        <v>95</v>
      </c>
      <c r="E275" s="142">
        <v>333</v>
      </c>
      <c r="F275" s="159">
        <v>133200</v>
      </c>
      <c r="G275" s="159">
        <v>0</v>
      </c>
      <c r="H275" s="159">
        <v>0</v>
      </c>
      <c r="I275" s="159">
        <v>0</v>
      </c>
      <c r="J275" s="159">
        <v>0</v>
      </c>
      <c r="K275" s="159">
        <v>0</v>
      </c>
      <c r="L275" s="142">
        <v>0</v>
      </c>
      <c r="M275" s="159">
        <v>5</v>
      </c>
      <c r="N275" s="159">
        <v>25</v>
      </c>
      <c r="O275" s="143">
        <v>5000</v>
      </c>
      <c r="P275" s="159">
        <v>100</v>
      </c>
      <c r="Q275" s="143">
        <v>173200</v>
      </c>
      <c r="R275" s="159">
        <v>35000</v>
      </c>
      <c r="S275" s="159">
        <v>100</v>
      </c>
      <c r="T275" s="159">
        <v>173200</v>
      </c>
      <c r="U275" s="159">
        <f t="shared" si="4"/>
        <v>138560</v>
      </c>
    </row>
    <row r="276" spans="1:21" x14ac:dyDescent="0.25">
      <c r="A276" s="159" t="s">
        <v>284</v>
      </c>
      <c r="B276" s="158" t="s">
        <v>490</v>
      </c>
      <c r="C276" s="159" t="s">
        <v>1043</v>
      </c>
      <c r="D276" s="159">
        <v>25</v>
      </c>
      <c r="E276" s="142">
        <v>145</v>
      </c>
      <c r="F276" s="159">
        <v>58000</v>
      </c>
      <c r="G276" s="159">
        <v>0</v>
      </c>
      <c r="H276" s="159">
        <v>0</v>
      </c>
      <c r="I276" s="159">
        <v>0</v>
      </c>
      <c r="J276" s="159">
        <v>5</v>
      </c>
      <c r="K276" s="159">
        <v>35</v>
      </c>
      <c r="L276" s="142">
        <v>7000</v>
      </c>
      <c r="M276" s="159">
        <v>10</v>
      </c>
      <c r="N276" s="159">
        <v>50</v>
      </c>
      <c r="O276" s="143">
        <v>10000</v>
      </c>
      <c r="P276" s="159">
        <v>40</v>
      </c>
      <c r="Q276" s="143">
        <v>89000</v>
      </c>
      <c r="R276" s="159">
        <v>14000</v>
      </c>
      <c r="S276" s="159">
        <v>40</v>
      </c>
      <c r="T276" s="159">
        <v>89000</v>
      </c>
      <c r="U276" s="159">
        <f t="shared" si="4"/>
        <v>71200</v>
      </c>
    </row>
    <row r="277" spans="1:21" x14ac:dyDescent="0.25">
      <c r="A277" s="159" t="s">
        <v>285</v>
      </c>
      <c r="B277" s="158" t="s">
        <v>690</v>
      </c>
      <c r="C277" s="159" t="s">
        <v>1044</v>
      </c>
      <c r="D277" s="159">
        <v>59</v>
      </c>
      <c r="E277" s="142">
        <v>257</v>
      </c>
      <c r="F277" s="159">
        <v>102800</v>
      </c>
      <c r="G277" s="159">
        <v>0</v>
      </c>
      <c r="H277" s="159">
        <v>0</v>
      </c>
      <c r="I277" s="159">
        <v>0</v>
      </c>
      <c r="J277" s="159">
        <v>6</v>
      </c>
      <c r="K277" s="159">
        <v>24</v>
      </c>
      <c r="L277" s="142">
        <v>4800</v>
      </c>
      <c r="M277" s="159">
        <v>5</v>
      </c>
      <c r="N277" s="159">
        <v>20</v>
      </c>
      <c r="O277" s="143">
        <v>4000</v>
      </c>
      <c r="P277" s="159">
        <v>70</v>
      </c>
      <c r="Q277" s="143">
        <v>136100</v>
      </c>
      <c r="R277" s="159">
        <v>24500</v>
      </c>
      <c r="S277" s="159">
        <v>70</v>
      </c>
      <c r="T277" s="159">
        <v>136100</v>
      </c>
      <c r="U277" s="159">
        <f t="shared" si="4"/>
        <v>108880</v>
      </c>
    </row>
    <row r="278" spans="1:21" x14ac:dyDescent="0.25">
      <c r="A278" s="159" t="s">
        <v>286</v>
      </c>
      <c r="B278" s="158" t="s">
        <v>691</v>
      </c>
      <c r="C278" s="159" t="s">
        <v>1045</v>
      </c>
      <c r="D278" s="159">
        <v>184</v>
      </c>
      <c r="E278" s="142">
        <v>920</v>
      </c>
      <c r="F278" s="159">
        <v>368000</v>
      </c>
      <c r="G278" s="159">
        <v>0</v>
      </c>
      <c r="H278" s="159">
        <v>0</v>
      </c>
      <c r="I278" s="159">
        <v>0</v>
      </c>
      <c r="J278" s="159">
        <v>35</v>
      </c>
      <c r="K278" s="159">
        <v>151</v>
      </c>
      <c r="L278" s="142">
        <v>30200</v>
      </c>
      <c r="M278" s="159">
        <v>8</v>
      </c>
      <c r="N278" s="159">
        <v>40</v>
      </c>
      <c r="O278" s="143">
        <v>8000</v>
      </c>
      <c r="P278" s="159">
        <v>227</v>
      </c>
      <c r="Q278" s="143">
        <v>466600</v>
      </c>
      <c r="R278" s="159">
        <v>60400</v>
      </c>
      <c r="S278" s="159">
        <v>227</v>
      </c>
      <c r="T278" s="159">
        <v>466600</v>
      </c>
      <c r="U278" s="159">
        <f t="shared" si="4"/>
        <v>373280</v>
      </c>
    </row>
    <row r="279" spans="1:21" x14ac:dyDescent="0.25">
      <c r="A279" s="159" t="s">
        <v>287</v>
      </c>
      <c r="B279" s="158" t="s">
        <v>692</v>
      </c>
      <c r="C279" s="159" t="s">
        <v>1046</v>
      </c>
      <c r="D279" s="159">
        <v>250</v>
      </c>
      <c r="E279" s="142">
        <v>1250</v>
      </c>
      <c r="F279" s="159">
        <v>500000</v>
      </c>
      <c r="G279" s="159">
        <v>75</v>
      </c>
      <c r="H279" s="159">
        <v>300</v>
      </c>
      <c r="I279" s="159">
        <v>151500</v>
      </c>
      <c r="J279" s="159">
        <v>16</v>
      </c>
      <c r="K279" s="159">
        <v>96</v>
      </c>
      <c r="L279" s="142">
        <v>19200</v>
      </c>
      <c r="M279" s="159">
        <v>1</v>
      </c>
      <c r="N279" s="159">
        <v>5</v>
      </c>
      <c r="O279" s="143">
        <v>1000</v>
      </c>
      <c r="P279" s="159">
        <v>342</v>
      </c>
      <c r="Q279" s="143">
        <v>755100</v>
      </c>
      <c r="R279" s="159">
        <v>83400</v>
      </c>
      <c r="S279" s="159">
        <v>342</v>
      </c>
      <c r="T279" s="159">
        <v>755100</v>
      </c>
      <c r="U279" s="159">
        <f t="shared" si="4"/>
        <v>604080</v>
      </c>
    </row>
    <row r="280" spans="1:21" x14ac:dyDescent="0.25">
      <c r="A280" s="159" t="s">
        <v>288</v>
      </c>
      <c r="B280" s="158" t="s">
        <v>693</v>
      </c>
      <c r="C280" s="159" t="s">
        <v>1047</v>
      </c>
      <c r="D280" s="159">
        <v>130</v>
      </c>
      <c r="E280" s="142">
        <v>650</v>
      </c>
      <c r="F280" s="159">
        <v>260000</v>
      </c>
      <c r="G280" s="159">
        <v>0</v>
      </c>
      <c r="H280" s="159">
        <v>0</v>
      </c>
      <c r="I280" s="159">
        <v>0</v>
      </c>
      <c r="J280" s="159">
        <v>20</v>
      </c>
      <c r="K280" s="159">
        <v>140</v>
      </c>
      <c r="L280" s="142">
        <v>28000</v>
      </c>
      <c r="M280" s="159">
        <v>15</v>
      </c>
      <c r="N280" s="159">
        <v>105</v>
      </c>
      <c r="O280" s="143">
        <v>21000</v>
      </c>
      <c r="P280" s="159">
        <v>165</v>
      </c>
      <c r="Q280" s="143">
        <v>357000</v>
      </c>
      <c r="R280" s="159">
        <v>48000</v>
      </c>
      <c r="S280" s="159">
        <v>165</v>
      </c>
      <c r="T280" s="159">
        <v>357000</v>
      </c>
      <c r="U280" s="159">
        <f t="shared" si="4"/>
        <v>285600</v>
      </c>
    </row>
    <row r="281" spans="1:21" x14ac:dyDescent="0.25">
      <c r="A281" s="159" t="s">
        <v>289</v>
      </c>
      <c r="B281" s="158" t="s">
        <v>693</v>
      </c>
      <c r="C281" s="159" t="s">
        <v>1048</v>
      </c>
      <c r="D281" s="159">
        <v>0</v>
      </c>
      <c r="E281" s="142">
        <v>0</v>
      </c>
      <c r="F281" s="159">
        <v>0</v>
      </c>
      <c r="G281" s="159">
        <v>55</v>
      </c>
      <c r="H281" s="159">
        <v>165</v>
      </c>
      <c r="I281" s="159">
        <v>83325</v>
      </c>
      <c r="J281" s="159">
        <v>0</v>
      </c>
      <c r="K281" s="159">
        <v>0</v>
      </c>
      <c r="L281" s="142">
        <v>0</v>
      </c>
      <c r="M281" s="159">
        <v>0</v>
      </c>
      <c r="N281" s="159">
        <v>0</v>
      </c>
      <c r="O281" s="143">
        <v>0</v>
      </c>
      <c r="P281" s="159">
        <v>55</v>
      </c>
      <c r="Q281" s="143">
        <v>102575</v>
      </c>
      <c r="R281" s="159">
        <v>19250</v>
      </c>
      <c r="S281" s="159">
        <v>55</v>
      </c>
      <c r="T281" s="159">
        <v>102575</v>
      </c>
      <c r="U281" s="159">
        <f t="shared" si="4"/>
        <v>82060</v>
      </c>
    </row>
    <row r="282" spans="1:21" x14ac:dyDescent="0.25">
      <c r="A282" s="159" t="s">
        <v>290</v>
      </c>
      <c r="B282" s="158" t="s">
        <v>694</v>
      </c>
      <c r="C282" s="159" t="s">
        <v>1049</v>
      </c>
      <c r="D282" s="159">
        <v>183</v>
      </c>
      <c r="E282" s="142">
        <v>915</v>
      </c>
      <c r="F282" s="159">
        <v>366000</v>
      </c>
      <c r="G282" s="159">
        <v>37</v>
      </c>
      <c r="H282" s="159">
        <v>148</v>
      </c>
      <c r="I282" s="159">
        <v>74740</v>
      </c>
      <c r="J282" s="159">
        <v>37</v>
      </c>
      <c r="K282" s="159">
        <v>222</v>
      </c>
      <c r="L282" s="142">
        <v>44400</v>
      </c>
      <c r="M282" s="159">
        <v>20</v>
      </c>
      <c r="N282" s="159">
        <v>120</v>
      </c>
      <c r="O282" s="143">
        <v>24000</v>
      </c>
      <c r="P282" s="159">
        <v>277</v>
      </c>
      <c r="Q282" s="143">
        <v>579540</v>
      </c>
      <c r="R282" s="159">
        <v>70400</v>
      </c>
      <c r="S282" s="159">
        <v>277</v>
      </c>
      <c r="T282" s="159">
        <v>579540</v>
      </c>
      <c r="U282" s="159">
        <f t="shared" si="4"/>
        <v>463632</v>
      </c>
    </row>
    <row r="283" spans="1:21" x14ac:dyDescent="0.25">
      <c r="A283" s="159" t="s">
        <v>291</v>
      </c>
      <c r="B283" s="158" t="s">
        <v>491</v>
      </c>
      <c r="C283" s="159" t="s">
        <v>1050</v>
      </c>
      <c r="D283" s="159">
        <v>10</v>
      </c>
      <c r="E283" s="142">
        <v>41</v>
      </c>
      <c r="F283" s="159">
        <v>16400</v>
      </c>
      <c r="G283" s="159">
        <v>17</v>
      </c>
      <c r="H283" s="159">
        <v>51</v>
      </c>
      <c r="I283" s="159">
        <v>25755</v>
      </c>
      <c r="J283" s="159">
        <v>2</v>
      </c>
      <c r="K283" s="159">
        <v>10</v>
      </c>
      <c r="L283" s="142">
        <v>2000</v>
      </c>
      <c r="M283" s="159">
        <v>2</v>
      </c>
      <c r="N283" s="159">
        <v>11</v>
      </c>
      <c r="O283" s="143">
        <v>2200</v>
      </c>
      <c r="P283" s="159">
        <v>31</v>
      </c>
      <c r="Q283" s="143">
        <v>57205</v>
      </c>
      <c r="R283" s="159">
        <v>10850</v>
      </c>
      <c r="S283" s="159">
        <v>31</v>
      </c>
      <c r="T283" s="159">
        <v>57205</v>
      </c>
      <c r="U283" s="159">
        <f t="shared" si="4"/>
        <v>45764</v>
      </c>
    </row>
    <row r="284" spans="1:21" x14ac:dyDescent="0.25">
      <c r="A284" s="159" t="s">
        <v>292</v>
      </c>
      <c r="B284" s="158" t="s">
        <v>695</v>
      </c>
      <c r="C284" s="159" t="s">
        <v>1051</v>
      </c>
      <c r="D284" s="159">
        <v>2</v>
      </c>
      <c r="E284" s="142">
        <v>12</v>
      </c>
      <c r="F284" s="159">
        <v>4800</v>
      </c>
      <c r="G284" s="159">
        <v>0</v>
      </c>
      <c r="H284" s="159">
        <v>0</v>
      </c>
      <c r="I284" s="159">
        <v>0</v>
      </c>
      <c r="J284" s="159">
        <v>0</v>
      </c>
      <c r="K284" s="159">
        <v>0</v>
      </c>
      <c r="L284" s="142">
        <v>0</v>
      </c>
      <c r="M284" s="159">
        <v>0</v>
      </c>
      <c r="N284" s="159">
        <v>0</v>
      </c>
      <c r="O284" s="143">
        <v>0</v>
      </c>
      <c r="P284" s="159">
        <v>2</v>
      </c>
      <c r="Q284" s="143">
        <v>5500</v>
      </c>
      <c r="R284" s="159">
        <v>700</v>
      </c>
      <c r="S284" s="159">
        <v>2</v>
      </c>
      <c r="T284" s="159">
        <v>5500</v>
      </c>
      <c r="U284" s="159">
        <f t="shared" si="4"/>
        <v>4400</v>
      </c>
    </row>
    <row r="285" spans="1:21" x14ac:dyDescent="0.25">
      <c r="A285" s="159" t="s">
        <v>293</v>
      </c>
      <c r="B285" s="158" t="s">
        <v>696</v>
      </c>
      <c r="C285" s="159" t="s">
        <v>1052</v>
      </c>
      <c r="D285" s="159">
        <v>391</v>
      </c>
      <c r="E285" s="142">
        <v>2268</v>
      </c>
      <c r="F285" s="159">
        <v>907200</v>
      </c>
      <c r="G285" s="159">
        <v>93</v>
      </c>
      <c r="H285" s="159">
        <v>372</v>
      </c>
      <c r="I285" s="159">
        <v>187860</v>
      </c>
      <c r="J285" s="159">
        <v>10</v>
      </c>
      <c r="K285" s="159">
        <v>50</v>
      </c>
      <c r="L285" s="142">
        <v>10000</v>
      </c>
      <c r="M285" s="159">
        <v>2</v>
      </c>
      <c r="N285" s="159">
        <v>10</v>
      </c>
      <c r="O285" s="143">
        <v>2000</v>
      </c>
      <c r="P285" s="159">
        <v>496</v>
      </c>
      <c r="Q285" s="143">
        <v>1221260</v>
      </c>
      <c r="R285" s="159">
        <v>114200</v>
      </c>
      <c r="S285" s="159">
        <v>496</v>
      </c>
      <c r="T285" s="159">
        <v>1221260</v>
      </c>
      <c r="U285" s="159">
        <f t="shared" si="4"/>
        <v>977008</v>
      </c>
    </row>
    <row r="286" spans="1:21" x14ac:dyDescent="0.25">
      <c r="A286" s="159" t="s">
        <v>294</v>
      </c>
      <c r="B286" s="158" t="s">
        <v>697</v>
      </c>
      <c r="C286" s="159" t="s">
        <v>1053</v>
      </c>
      <c r="D286" s="159">
        <v>342</v>
      </c>
      <c r="E286" s="142">
        <v>1596</v>
      </c>
      <c r="F286" s="159">
        <v>638400</v>
      </c>
      <c r="G286" s="159">
        <v>0</v>
      </c>
      <c r="H286" s="159">
        <v>0</v>
      </c>
      <c r="I286" s="159">
        <v>0</v>
      </c>
      <c r="J286" s="159">
        <v>49</v>
      </c>
      <c r="K286" s="159">
        <v>245</v>
      </c>
      <c r="L286" s="142">
        <v>49000</v>
      </c>
      <c r="M286" s="159">
        <v>15</v>
      </c>
      <c r="N286" s="159">
        <v>113</v>
      </c>
      <c r="O286" s="143">
        <v>22600</v>
      </c>
      <c r="P286" s="159">
        <v>406</v>
      </c>
      <c r="Q286" s="143">
        <v>806200</v>
      </c>
      <c r="R286" s="159">
        <v>96200</v>
      </c>
      <c r="S286" s="159">
        <v>406</v>
      </c>
      <c r="T286" s="159">
        <v>806200</v>
      </c>
      <c r="U286" s="159">
        <f t="shared" si="4"/>
        <v>644960</v>
      </c>
    </row>
    <row r="287" spans="1:21" x14ac:dyDescent="0.25">
      <c r="A287" s="159" t="s">
        <v>698</v>
      </c>
      <c r="B287" s="158" t="s">
        <v>699</v>
      </c>
      <c r="C287" s="159" t="s">
        <v>1054</v>
      </c>
      <c r="D287" s="159">
        <v>10</v>
      </c>
      <c r="E287" s="142">
        <v>40</v>
      </c>
      <c r="F287" s="159">
        <v>16000</v>
      </c>
      <c r="G287" s="159">
        <v>0</v>
      </c>
      <c r="H287" s="159">
        <v>0</v>
      </c>
      <c r="I287" s="159">
        <v>0</v>
      </c>
      <c r="J287" s="159">
        <v>5</v>
      </c>
      <c r="K287" s="159">
        <v>35</v>
      </c>
      <c r="L287" s="142">
        <v>7000</v>
      </c>
      <c r="M287" s="159">
        <v>5</v>
      </c>
      <c r="N287" s="159">
        <v>35</v>
      </c>
      <c r="O287" s="143">
        <v>7000</v>
      </c>
      <c r="P287" s="159">
        <v>20</v>
      </c>
      <c r="Q287" s="143">
        <v>37000</v>
      </c>
      <c r="R287" s="159">
        <v>7000</v>
      </c>
      <c r="S287" s="159">
        <v>20</v>
      </c>
      <c r="T287" s="159">
        <v>37000</v>
      </c>
      <c r="U287" s="159">
        <f t="shared" si="4"/>
        <v>29600</v>
      </c>
    </row>
    <row r="288" spans="1:21" x14ac:dyDescent="0.25">
      <c r="A288" s="159" t="s">
        <v>295</v>
      </c>
      <c r="B288" s="158" t="s">
        <v>700</v>
      </c>
      <c r="C288" s="159" t="s">
        <v>1055</v>
      </c>
      <c r="D288" s="159">
        <v>30</v>
      </c>
      <c r="E288" s="142">
        <v>174</v>
      </c>
      <c r="F288" s="159">
        <v>69600</v>
      </c>
      <c r="G288" s="159">
        <v>0</v>
      </c>
      <c r="H288" s="159">
        <v>0</v>
      </c>
      <c r="I288" s="159">
        <v>0</v>
      </c>
      <c r="J288" s="159">
        <v>9</v>
      </c>
      <c r="K288" s="159">
        <v>45</v>
      </c>
      <c r="L288" s="142">
        <v>9000</v>
      </c>
      <c r="M288" s="159">
        <v>2</v>
      </c>
      <c r="N288" s="159">
        <v>10</v>
      </c>
      <c r="O288" s="143">
        <v>2000</v>
      </c>
      <c r="P288" s="159">
        <v>41</v>
      </c>
      <c r="Q288" s="143">
        <v>94950</v>
      </c>
      <c r="R288" s="159">
        <v>14350</v>
      </c>
      <c r="S288" s="159">
        <v>41</v>
      </c>
      <c r="T288" s="159">
        <v>94950</v>
      </c>
      <c r="U288" s="159">
        <f t="shared" si="4"/>
        <v>75960</v>
      </c>
    </row>
    <row r="289" spans="1:21" x14ac:dyDescent="0.25">
      <c r="A289" s="159" t="s">
        <v>701</v>
      </c>
      <c r="B289" s="158" t="s">
        <v>702</v>
      </c>
      <c r="C289" s="159" t="s">
        <v>1056</v>
      </c>
      <c r="D289" s="159">
        <v>15</v>
      </c>
      <c r="E289" s="142">
        <v>75</v>
      </c>
      <c r="F289" s="159">
        <v>30000</v>
      </c>
      <c r="G289" s="159">
        <v>5</v>
      </c>
      <c r="H289" s="159">
        <v>24</v>
      </c>
      <c r="I289" s="159">
        <v>12120</v>
      </c>
      <c r="J289" s="159">
        <v>2</v>
      </c>
      <c r="K289" s="159">
        <v>10</v>
      </c>
      <c r="L289" s="142">
        <v>2000</v>
      </c>
      <c r="M289" s="159">
        <v>2</v>
      </c>
      <c r="N289" s="159">
        <v>10</v>
      </c>
      <c r="O289" s="143">
        <v>2000</v>
      </c>
      <c r="P289" s="159">
        <v>24</v>
      </c>
      <c r="Q289" s="143">
        <v>54520</v>
      </c>
      <c r="R289" s="159">
        <v>8400</v>
      </c>
      <c r="S289" s="159">
        <v>24</v>
      </c>
      <c r="T289" s="159">
        <v>54520</v>
      </c>
      <c r="U289" s="159">
        <f t="shared" si="4"/>
        <v>43616</v>
      </c>
    </row>
    <row r="290" spans="1:21" x14ac:dyDescent="0.25">
      <c r="A290" s="159" t="s">
        <v>296</v>
      </c>
      <c r="B290" s="158" t="s">
        <v>703</v>
      </c>
      <c r="C290" s="159" t="s">
        <v>1057</v>
      </c>
      <c r="D290" s="159">
        <v>26</v>
      </c>
      <c r="E290" s="142">
        <v>116</v>
      </c>
      <c r="F290" s="159">
        <v>46400</v>
      </c>
      <c r="G290" s="159">
        <v>8</v>
      </c>
      <c r="H290" s="159">
        <v>38</v>
      </c>
      <c r="I290" s="159">
        <v>19190</v>
      </c>
      <c r="J290" s="159">
        <v>11</v>
      </c>
      <c r="K290" s="159">
        <v>66</v>
      </c>
      <c r="L290" s="142">
        <v>13200</v>
      </c>
      <c r="M290" s="159">
        <v>10</v>
      </c>
      <c r="N290" s="159">
        <v>60</v>
      </c>
      <c r="O290" s="143">
        <v>12000</v>
      </c>
      <c r="P290" s="159">
        <v>55</v>
      </c>
      <c r="Q290" s="143">
        <v>110040</v>
      </c>
      <c r="R290" s="159">
        <v>19250</v>
      </c>
      <c r="S290" s="159">
        <v>55</v>
      </c>
      <c r="T290" s="159">
        <v>110040</v>
      </c>
      <c r="U290" s="159">
        <f t="shared" si="4"/>
        <v>88032</v>
      </c>
    </row>
    <row r="291" spans="1:21" x14ac:dyDescent="0.25">
      <c r="A291" s="159" t="s">
        <v>297</v>
      </c>
      <c r="B291" s="158" t="s">
        <v>492</v>
      </c>
      <c r="C291" s="159" t="s">
        <v>1058</v>
      </c>
      <c r="D291" s="159">
        <v>29</v>
      </c>
      <c r="E291" s="142">
        <v>116</v>
      </c>
      <c r="F291" s="159">
        <v>46400</v>
      </c>
      <c r="G291" s="159">
        <v>36</v>
      </c>
      <c r="H291" s="159">
        <v>126</v>
      </c>
      <c r="I291" s="159">
        <v>63630</v>
      </c>
      <c r="J291" s="159">
        <v>8</v>
      </c>
      <c r="K291" s="159">
        <v>40</v>
      </c>
      <c r="L291" s="142">
        <v>8000</v>
      </c>
      <c r="M291" s="159">
        <v>8</v>
      </c>
      <c r="N291" s="159">
        <v>32</v>
      </c>
      <c r="O291" s="143">
        <v>6400</v>
      </c>
      <c r="P291" s="159">
        <v>81</v>
      </c>
      <c r="Q291" s="143">
        <v>152780</v>
      </c>
      <c r="R291" s="159">
        <v>28350</v>
      </c>
      <c r="S291" s="159">
        <v>81</v>
      </c>
      <c r="T291" s="159">
        <v>152780</v>
      </c>
      <c r="U291" s="159">
        <f t="shared" si="4"/>
        <v>122224</v>
      </c>
    </row>
    <row r="292" spans="1:21" x14ac:dyDescent="0.25">
      <c r="A292" s="159" t="s">
        <v>298</v>
      </c>
      <c r="B292" s="158" t="s">
        <v>704</v>
      </c>
      <c r="C292" s="159" t="s">
        <v>1059</v>
      </c>
      <c r="D292" s="159">
        <v>330</v>
      </c>
      <c r="E292" s="142">
        <v>1914</v>
      </c>
      <c r="F292" s="159">
        <v>765600</v>
      </c>
      <c r="G292" s="159">
        <v>130</v>
      </c>
      <c r="H292" s="159">
        <v>624</v>
      </c>
      <c r="I292" s="159">
        <v>315120</v>
      </c>
      <c r="J292" s="159">
        <v>85</v>
      </c>
      <c r="K292" s="159">
        <v>595</v>
      </c>
      <c r="L292" s="142">
        <v>119000</v>
      </c>
      <c r="M292" s="159">
        <v>20</v>
      </c>
      <c r="N292" s="159">
        <v>140</v>
      </c>
      <c r="O292" s="143">
        <v>28000</v>
      </c>
      <c r="P292" s="159">
        <v>565</v>
      </c>
      <c r="Q292" s="143">
        <v>1355720</v>
      </c>
      <c r="R292" s="159">
        <v>128000</v>
      </c>
      <c r="S292" s="159">
        <v>565</v>
      </c>
      <c r="T292" s="159">
        <v>1355720</v>
      </c>
      <c r="U292" s="159">
        <f t="shared" si="4"/>
        <v>1084576</v>
      </c>
    </row>
    <row r="293" spans="1:21" x14ac:dyDescent="0.25">
      <c r="A293" s="159" t="s">
        <v>299</v>
      </c>
      <c r="B293" s="158" t="s">
        <v>705</v>
      </c>
      <c r="C293" s="159" t="s">
        <v>1060</v>
      </c>
      <c r="D293" s="159">
        <v>137</v>
      </c>
      <c r="E293" s="142">
        <v>578</v>
      </c>
      <c r="F293" s="159">
        <v>231200</v>
      </c>
      <c r="G293" s="159">
        <v>145</v>
      </c>
      <c r="H293" s="159">
        <v>696</v>
      </c>
      <c r="I293" s="159">
        <v>351480</v>
      </c>
      <c r="J293" s="159">
        <v>16</v>
      </c>
      <c r="K293" s="159">
        <v>57</v>
      </c>
      <c r="L293" s="142">
        <v>11400</v>
      </c>
      <c r="M293" s="159">
        <v>5</v>
      </c>
      <c r="N293" s="159">
        <v>25</v>
      </c>
      <c r="O293" s="143">
        <v>5000</v>
      </c>
      <c r="P293" s="159">
        <v>303</v>
      </c>
      <c r="Q293" s="143">
        <v>674680</v>
      </c>
      <c r="R293" s="159">
        <v>75600</v>
      </c>
      <c r="S293" s="159">
        <v>303</v>
      </c>
      <c r="T293" s="159">
        <v>674680</v>
      </c>
      <c r="U293" s="159">
        <f t="shared" si="4"/>
        <v>539744</v>
      </c>
    </row>
    <row r="294" spans="1:21" x14ac:dyDescent="0.25">
      <c r="A294" s="159" t="s">
        <v>300</v>
      </c>
      <c r="B294" s="158" t="s">
        <v>706</v>
      </c>
      <c r="C294" s="159" t="s">
        <v>1061</v>
      </c>
      <c r="D294" s="159">
        <v>2</v>
      </c>
      <c r="E294" s="142">
        <v>12</v>
      </c>
      <c r="F294" s="159">
        <v>4800</v>
      </c>
      <c r="G294" s="159">
        <v>0</v>
      </c>
      <c r="H294" s="159">
        <v>0</v>
      </c>
      <c r="I294" s="159">
        <v>0</v>
      </c>
      <c r="J294" s="159">
        <v>8</v>
      </c>
      <c r="K294" s="159">
        <v>27</v>
      </c>
      <c r="L294" s="142">
        <v>5400</v>
      </c>
      <c r="M294" s="159">
        <v>0</v>
      </c>
      <c r="N294" s="159">
        <v>0</v>
      </c>
      <c r="O294" s="143">
        <v>0</v>
      </c>
      <c r="P294" s="159">
        <v>10</v>
      </c>
      <c r="Q294" s="143">
        <v>13700</v>
      </c>
      <c r="R294" s="159">
        <v>3500</v>
      </c>
      <c r="S294" s="159">
        <v>10</v>
      </c>
      <c r="T294" s="159">
        <v>13700</v>
      </c>
      <c r="U294" s="159">
        <f t="shared" si="4"/>
        <v>10960</v>
      </c>
    </row>
    <row r="295" spans="1:21" x14ac:dyDescent="0.25">
      <c r="A295" s="159" t="s">
        <v>301</v>
      </c>
      <c r="B295" s="158" t="s">
        <v>707</v>
      </c>
      <c r="C295" s="159" t="s">
        <v>1062</v>
      </c>
      <c r="D295" s="159">
        <v>260</v>
      </c>
      <c r="E295" s="142">
        <v>1500</v>
      </c>
      <c r="F295" s="159">
        <v>600000</v>
      </c>
      <c r="G295" s="159">
        <v>0</v>
      </c>
      <c r="H295" s="159">
        <v>0</v>
      </c>
      <c r="I295" s="159">
        <v>0</v>
      </c>
      <c r="J295" s="159">
        <v>6</v>
      </c>
      <c r="K295" s="159">
        <v>24</v>
      </c>
      <c r="L295" s="142">
        <v>4800</v>
      </c>
      <c r="M295" s="159">
        <v>10</v>
      </c>
      <c r="N295" s="159">
        <v>50</v>
      </c>
      <c r="O295" s="143">
        <v>10000</v>
      </c>
      <c r="P295" s="159">
        <v>276</v>
      </c>
      <c r="Q295" s="143">
        <v>685000</v>
      </c>
      <c r="R295" s="159">
        <v>70200</v>
      </c>
      <c r="S295" s="159">
        <v>276</v>
      </c>
      <c r="T295" s="159">
        <v>685000</v>
      </c>
      <c r="U295" s="159">
        <f t="shared" si="4"/>
        <v>548000</v>
      </c>
    </row>
    <row r="296" spans="1:21" x14ac:dyDescent="0.25">
      <c r="A296" s="159" t="s">
        <v>302</v>
      </c>
      <c r="B296" s="158" t="s">
        <v>708</v>
      </c>
      <c r="C296" s="159" t="s">
        <v>1063</v>
      </c>
      <c r="D296" s="159">
        <v>4</v>
      </c>
      <c r="E296" s="142">
        <v>20</v>
      </c>
      <c r="F296" s="159">
        <v>8000</v>
      </c>
      <c r="G296" s="159">
        <v>3</v>
      </c>
      <c r="H296" s="159">
        <v>14</v>
      </c>
      <c r="I296" s="159">
        <v>7070</v>
      </c>
      <c r="J296" s="159">
        <v>3</v>
      </c>
      <c r="K296" s="159">
        <v>30</v>
      </c>
      <c r="L296" s="142">
        <v>6000</v>
      </c>
      <c r="M296" s="159">
        <v>3</v>
      </c>
      <c r="N296" s="159">
        <v>30</v>
      </c>
      <c r="O296" s="143">
        <v>6000</v>
      </c>
      <c r="P296" s="159">
        <v>13</v>
      </c>
      <c r="Q296" s="143">
        <v>31620</v>
      </c>
      <c r="R296" s="159">
        <v>4550</v>
      </c>
      <c r="S296" s="159">
        <v>13</v>
      </c>
      <c r="T296" s="159">
        <v>31620</v>
      </c>
      <c r="U296" s="159">
        <f t="shared" si="4"/>
        <v>25296</v>
      </c>
    </row>
    <row r="297" spans="1:21" x14ac:dyDescent="0.25">
      <c r="A297" s="159" t="s">
        <v>303</v>
      </c>
      <c r="B297" s="158" t="s">
        <v>709</v>
      </c>
      <c r="C297" s="159" t="s">
        <v>1064</v>
      </c>
      <c r="D297" s="159">
        <v>40</v>
      </c>
      <c r="E297" s="142">
        <v>160</v>
      </c>
      <c r="F297" s="159">
        <v>64000</v>
      </c>
      <c r="G297" s="159">
        <v>32</v>
      </c>
      <c r="H297" s="159">
        <v>128</v>
      </c>
      <c r="I297" s="159">
        <v>64640</v>
      </c>
      <c r="J297" s="159">
        <v>1</v>
      </c>
      <c r="K297" s="159">
        <v>5</v>
      </c>
      <c r="L297" s="142">
        <v>1000</v>
      </c>
      <c r="M297" s="159">
        <v>6</v>
      </c>
      <c r="N297" s="159">
        <v>30</v>
      </c>
      <c r="O297" s="143">
        <v>6000</v>
      </c>
      <c r="P297" s="159">
        <v>79</v>
      </c>
      <c r="Q297" s="143">
        <v>163290</v>
      </c>
      <c r="R297" s="159">
        <v>27650</v>
      </c>
      <c r="S297" s="159">
        <v>79</v>
      </c>
      <c r="T297" s="159">
        <v>163290</v>
      </c>
      <c r="U297" s="159">
        <f t="shared" si="4"/>
        <v>130632</v>
      </c>
    </row>
    <row r="298" spans="1:21" x14ac:dyDescent="0.25">
      <c r="A298" s="159" t="s">
        <v>304</v>
      </c>
      <c r="B298" s="158" t="s">
        <v>710</v>
      </c>
      <c r="C298" s="159" t="s">
        <v>1065</v>
      </c>
      <c r="D298" s="159">
        <v>93</v>
      </c>
      <c r="E298" s="142">
        <v>511</v>
      </c>
      <c r="F298" s="159">
        <v>204400</v>
      </c>
      <c r="G298" s="159">
        <v>76</v>
      </c>
      <c r="H298" s="159">
        <v>304</v>
      </c>
      <c r="I298" s="159">
        <v>153520</v>
      </c>
      <c r="J298" s="159">
        <v>41</v>
      </c>
      <c r="K298" s="159">
        <v>328</v>
      </c>
      <c r="L298" s="142">
        <v>65600</v>
      </c>
      <c r="M298" s="159">
        <v>28</v>
      </c>
      <c r="N298" s="159">
        <v>252</v>
      </c>
      <c r="O298" s="143">
        <v>50400</v>
      </c>
      <c r="P298" s="159">
        <v>238</v>
      </c>
      <c r="Q298" s="143">
        <v>536520</v>
      </c>
      <c r="R298" s="159">
        <v>62600</v>
      </c>
      <c r="S298" s="159">
        <v>238</v>
      </c>
      <c r="T298" s="159">
        <v>536520</v>
      </c>
      <c r="U298" s="159">
        <f t="shared" si="4"/>
        <v>429216</v>
      </c>
    </row>
    <row r="299" spans="1:21" x14ac:dyDescent="0.25">
      <c r="A299" s="159" t="s">
        <v>305</v>
      </c>
      <c r="B299" s="158" t="s">
        <v>493</v>
      </c>
      <c r="C299" s="159" t="s">
        <v>1066</v>
      </c>
      <c r="D299" s="159">
        <v>5</v>
      </c>
      <c r="E299" s="142">
        <v>29</v>
      </c>
      <c r="F299" s="159">
        <v>11600</v>
      </c>
      <c r="G299" s="159">
        <v>0</v>
      </c>
      <c r="H299" s="159">
        <v>0</v>
      </c>
      <c r="I299" s="159">
        <v>0</v>
      </c>
      <c r="J299" s="159">
        <v>5</v>
      </c>
      <c r="K299" s="159">
        <v>50</v>
      </c>
      <c r="L299" s="142">
        <v>10000</v>
      </c>
      <c r="M299" s="159">
        <v>0</v>
      </c>
      <c r="N299" s="159">
        <v>0</v>
      </c>
      <c r="O299" s="143">
        <v>0</v>
      </c>
      <c r="P299" s="159">
        <v>10</v>
      </c>
      <c r="Q299" s="143">
        <v>25100</v>
      </c>
      <c r="R299" s="159">
        <v>3500</v>
      </c>
      <c r="S299" s="159">
        <v>10</v>
      </c>
      <c r="T299" s="159">
        <v>25100</v>
      </c>
      <c r="U299" s="159">
        <f t="shared" si="4"/>
        <v>20080</v>
      </c>
    </row>
    <row r="300" spans="1:21" x14ac:dyDescent="0.25">
      <c r="A300" s="159" t="s">
        <v>306</v>
      </c>
      <c r="B300" s="158" t="s">
        <v>711</v>
      </c>
      <c r="C300" s="159" t="s">
        <v>1067</v>
      </c>
      <c r="D300" s="159">
        <v>8</v>
      </c>
      <c r="E300" s="142">
        <v>40</v>
      </c>
      <c r="F300" s="159">
        <v>16000</v>
      </c>
      <c r="G300" s="159">
        <v>8</v>
      </c>
      <c r="H300" s="159">
        <v>32</v>
      </c>
      <c r="I300" s="159">
        <v>16160</v>
      </c>
      <c r="J300" s="159">
        <v>1</v>
      </c>
      <c r="K300" s="159">
        <v>10</v>
      </c>
      <c r="L300" s="142">
        <v>2000</v>
      </c>
      <c r="M300" s="159">
        <v>2</v>
      </c>
      <c r="N300" s="159">
        <v>10</v>
      </c>
      <c r="O300" s="143">
        <v>2000</v>
      </c>
      <c r="P300" s="159">
        <v>19</v>
      </c>
      <c r="Q300" s="143">
        <v>42810</v>
      </c>
      <c r="R300" s="159">
        <v>6650</v>
      </c>
      <c r="S300" s="159">
        <v>19</v>
      </c>
      <c r="T300" s="159">
        <v>42810</v>
      </c>
      <c r="U300" s="159">
        <f t="shared" si="4"/>
        <v>34248</v>
      </c>
    </row>
    <row r="301" spans="1:21" x14ac:dyDescent="0.25">
      <c r="A301" s="159" t="s">
        <v>307</v>
      </c>
      <c r="B301" s="158" t="s">
        <v>712</v>
      </c>
      <c r="C301" s="159" t="s">
        <v>1068</v>
      </c>
      <c r="D301" s="159">
        <v>210</v>
      </c>
      <c r="E301" s="142">
        <v>1218</v>
      </c>
      <c r="F301" s="159">
        <v>487200</v>
      </c>
      <c r="G301" s="159">
        <v>130</v>
      </c>
      <c r="H301" s="159">
        <v>624</v>
      </c>
      <c r="I301" s="159">
        <v>315120</v>
      </c>
      <c r="J301" s="159">
        <v>30</v>
      </c>
      <c r="K301" s="159">
        <v>240</v>
      </c>
      <c r="L301" s="142">
        <v>48000</v>
      </c>
      <c r="M301" s="159">
        <v>20</v>
      </c>
      <c r="N301" s="159">
        <v>120</v>
      </c>
      <c r="O301" s="143">
        <v>24000</v>
      </c>
      <c r="P301" s="159">
        <v>390</v>
      </c>
      <c r="Q301" s="143">
        <v>967320</v>
      </c>
      <c r="R301" s="159">
        <v>93000</v>
      </c>
      <c r="S301" s="159">
        <v>390</v>
      </c>
      <c r="T301" s="159">
        <v>967320</v>
      </c>
      <c r="U301" s="159">
        <f t="shared" si="4"/>
        <v>773856</v>
      </c>
    </row>
    <row r="302" spans="1:21" x14ac:dyDescent="0.25">
      <c r="A302" s="159" t="s">
        <v>308</v>
      </c>
      <c r="B302" s="158" t="s">
        <v>494</v>
      </c>
      <c r="C302" s="159" t="s">
        <v>1069</v>
      </c>
      <c r="D302" s="159">
        <v>127</v>
      </c>
      <c r="E302" s="142">
        <v>737</v>
      </c>
      <c r="F302" s="159">
        <v>294800</v>
      </c>
      <c r="G302" s="159">
        <v>47</v>
      </c>
      <c r="H302" s="159">
        <v>188</v>
      </c>
      <c r="I302" s="159">
        <v>94940</v>
      </c>
      <c r="J302" s="159">
        <v>36</v>
      </c>
      <c r="K302" s="159">
        <v>180</v>
      </c>
      <c r="L302" s="142">
        <v>36000</v>
      </c>
      <c r="M302" s="159">
        <v>5</v>
      </c>
      <c r="N302" s="159">
        <v>25</v>
      </c>
      <c r="O302" s="143">
        <v>5000</v>
      </c>
      <c r="P302" s="159">
        <v>215</v>
      </c>
      <c r="Q302" s="143">
        <v>488740</v>
      </c>
      <c r="R302" s="159">
        <v>58000</v>
      </c>
      <c r="S302" s="159">
        <v>215</v>
      </c>
      <c r="T302" s="159">
        <v>488740</v>
      </c>
      <c r="U302" s="159">
        <f t="shared" si="4"/>
        <v>390992</v>
      </c>
    </row>
    <row r="303" spans="1:21" x14ac:dyDescent="0.25">
      <c r="A303" s="159" t="s">
        <v>309</v>
      </c>
      <c r="B303" s="158" t="s">
        <v>495</v>
      </c>
      <c r="C303" s="159" t="s">
        <v>1070</v>
      </c>
      <c r="D303" s="159">
        <v>8</v>
      </c>
      <c r="E303" s="142">
        <v>46</v>
      </c>
      <c r="F303" s="159">
        <v>18400</v>
      </c>
      <c r="G303" s="159">
        <v>0</v>
      </c>
      <c r="H303" s="159">
        <v>0</v>
      </c>
      <c r="I303" s="159">
        <v>0</v>
      </c>
      <c r="J303" s="159">
        <v>1</v>
      </c>
      <c r="K303" s="159">
        <v>4</v>
      </c>
      <c r="L303" s="142">
        <v>800</v>
      </c>
      <c r="M303" s="159">
        <v>0</v>
      </c>
      <c r="N303" s="159">
        <v>0</v>
      </c>
      <c r="O303" s="143">
        <v>0</v>
      </c>
      <c r="P303" s="159">
        <v>9</v>
      </c>
      <c r="Q303" s="143">
        <v>22350</v>
      </c>
      <c r="R303" s="159">
        <v>3150</v>
      </c>
      <c r="S303" s="159">
        <v>9</v>
      </c>
      <c r="T303" s="159">
        <v>22350</v>
      </c>
      <c r="U303" s="159">
        <f t="shared" si="4"/>
        <v>17880</v>
      </c>
    </row>
    <row r="304" spans="1:21" x14ac:dyDescent="0.25">
      <c r="A304" s="159" t="s">
        <v>310</v>
      </c>
      <c r="B304" s="158" t="s">
        <v>496</v>
      </c>
      <c r="C304" s="159" t="s">
        <v>1071</v>
      </c>
      <c r="D304" s="159">
        <v>5</v>
      </c>
      <c r="E304" s="142">
        <v>29</v>
      </c>
      <c r="F304" s="159">
        <v>11600</v>
      </c>
      <c r="G304" s="159">
        <v>0</v>
      </c>
      <c r="H304" s="159">
        <v>0</v>
      </c>
      <c r="I304" s="159">
        <v>0</v>
      </c>
      <c r="J304" s="159">
        <v>3</v>
      </c>
      <c r="K304" s="159">
        <v>15</v>
      </c>
      <c r="L304" s="142">
        <v>3000</v>
      </c>
      <c r="M304" s="159">
        <v>2</v>
      </c>
      <c r="N304" s="159">
        <v>20</v>
      </c>
      <c r="O304" s="143">
        <v>4000</v>
      </c>
      <c r="P304" s="159">
        <v>10</v>
      </c>
      <c r="Q304" s="143">
        <v>22100</v>
      </c>
      <c r="R304" s="159">
        <v>3500</v>
      </c>
      <c r="S304" s="159">
        <v>10</v>
      </c>
      <c r="T304" s="159">
        <v>22100</v>
      </c>
      <c r="U304" s="159">
        <f t="shared" si="4"/>
        <v>17680</v>
      </c>
    </row>
    <row r="305" spans="1:21" x14ac:dyDescent="0.25">
      <c r="A305" s="159" t="s">
        <v>311</v>
      </c>
      <c r="B305" s="158" t="s">
        <v>713</v>
      </c>
      <c r="C305" s="159" t="s">
        <v>1072</v>
      </c>
      <c r="D305" s="159">
        <v>25</v>
      </c>
      <c r="E305" s="142">
        <v>100</v>
      </c>
      <c r="F305" s="159">
        <v>40000</v>
      </c>
      <c r="G305" s="159">
        <v>0</v>
      </c>
      <c r="H305" s="159">
        <v>0</v>
      </c>
      <c r="I305" s="159">
        <v>0</v>
      </c>
      <c r="J305" s="159">
        <v>15</v>
      </c>
      <c r="K305" s="159">
        <v>105</v>
      </c>
      <c r="L305" s="142">
        <v>21000</v>
      </c>
      <c r="M305" s="159">
        <v>5</v>
      </c>
      <c r="N305" s="159">
        <v>35</v>
      </c>
      <c r="O305" s="143">
        <v>7000</v>
      </c>
      <c r="P305" s="159">
        <v>45</v>
      </c>
      <c r="Q305" s="143">
        <v>83750</v>
      </c>
      <c r="R305" s="159">
        <v>15750</v>
      </c>
      <c r="S305" s="159">
        <v>45</v>
      </c>
      <c r="T305" s="159">
        <v>83750</v>
      </c>
      <c r="U305" s="159">
        <f t="shared" si="4"/>
        <v>67000</v>
      </c>
    </row>
    <row r="306" spans="1:21" x14ac:dyDescent="0.25">
      <c r="A306" s="159" t="s">
        <v>312</v>
      </c>
      <c r="B306" s="158" t="s">
        <v>714</v>
      </c>
      <c r="C306" s="159" t="s">
        <v>1073</v>
      </c>
      <c r="D306" s="159">
        <v>25</v>
      </c>
      <c r="E306" s="142">
        <v>108</v>
      </c>
      <c r="F306" s="159">
        <v>43200</v>
      </c>
      <c r="G306" s="159">
        <v>17</v>
      </c>
      <c r="H306" s="159">
        <v>82</v>
      </c>
      <c r="I306" s="159">
        <v>41410</v>
      </c>
      <c r="J306" s="159">
        <v>13</v>
      </c>
      <c r="K306" s="159">
        <v>65</v>
      </c>
      <c r="L306" s="142">
        <v>13000</v>
      </c>
      <c r="M306" s="159">
        <v>5</v>
      </c>
      <c r="N306" s="159">
        <v>25</v>
      </c>
      <c r="O306" s="143">
        <v>5000</v>
      </c>
      <c r="P306" s="159">
        <v>60</v>
      </c>
      <c r="Q306" s="143">
        <v>123610</v>
      </c>
      <c r="R306" s="159">
        <v>21000</v>
      </c>
      <c r="S306" s="159">
        <v>60</v>
      </c>
      <c r="T306" s="159">
        <v>123610</v>
      </c>
      <c r="U306" s="159">
        <f t="shared" si="4"/>
        <v>98888</v>
      </c>
    </row>
    <row r="307" spans="1:21" x14ac:dyDescent="0.25">
      <c r="A307" s="159" t="s">
        <v>313</v>
      </c>
      <c r="B307" s="158" t="s">
        <v>715</v>
      </c>
      <c r="C307" s="159" t="s">
        <v>1074</v>
      </c>
      <c r="D307" s="159">
        <v>42</v>
      </c>
      <c r="E307" s="142">
        <v>186</v>
      </c>
      <c r="F307" s="159">
        <v>74400</v>
      </c>
      <c r="G307" s="159">
        <v>0</v>
      </c>
      <c r="H307" s="159">
        <v>0</v>
      </c>
      <c r="I307" s="159">
        <v>0</v>
      </c>
      <c r="J307" s="159">
        <v>4</v>
      </c>
      <c r="K307" s="159">
        <v>20</v>
      </c>
      <c r="L307" s="142">
        <v>4000</v>
      </c>
      <c r="M307" s="159">
        <v>3</v>
      </c>
      <c r="N307" s="159">
        <v>15</v>
      </c>
      <c r="O307" s="143">
        <v>3000</v>
      </c>
      <c r="P307" s="159">
        <v>49</v>
      </c>
      <c r="Q307" s="143">
        <v>98550</v>
      </c>
      <c r="R307" s="159">
        <v>17150</v>
      </c>
      <c r="S307" s="159">
        <v>49</v>
      </c>
      <c r="T307" s="159">
        <v>98550</v>
      </c>
      <c r="U307" s="159">
        <f t="shared" si="4"/>
        <v>78840</v>
      </c>
    </row>
    <row r="308" spans="1:21" x14ac:dyDescent="0.25">
      <c r="A308" s="159" t="s">
        <v>314</v>
      </c>
      <c r="B308" s="158" t="s">
        <v>716</v>
      </c>
      <c r="C308" s="159" t="s">
        <v>1075</v>
      </c>
      <c r="D308" s="159">
        <v>108</v>
      </c>
      <c r="E308" s="142">
        <v>594</v>
      </c>
      <c r="F308" s="159">
        <v>237600</v>
      </c>
      <c r="G308" s="159">
        <v>14</v>
      </c>
      <c r="H308" s="159">
        <v>56</v>
      </c>
      <c r="I308" s="159">
        <v>28280</v>
      </c>
      <c r="J308" s="159">
        <v>8</v>
      </c>
      <c r="K308" s="159">
        <v>56</v>
      </c>
      <c r="L308" s="142">
        <v>11200</v>
      </c>
      <c r="M308" s="159">
        <v>16</v>
      </c>
      <c r="N308" s="159">
        <v>112</v>
      </c>
      <c r="O308" s="143">
        <v>22400</v>
      </c>
      <c r="P308" s="159">
        <v>146</v>
      </c>
      <c r="Q308" s="143">
        <v>343680</v>
      </c>
      <c r="R308" s="159">
        <v>44200</v>
      </c>
      <c r="S308" s="159">
        <v>146</v>
      </c>
      <c r="T308" s="159">
        <v>343680</v>
      </c>
      <c r="U308" s="159">
        <f t="shared" si="4"/>
        <v>274944</v>
      </c>
    </row>
    <row r="309" spans="1:21" x14ac:dyDescent="0.25">
      <c r="A309" s="159" t="s">
        <v>315</v>
      </c>
      <c r="B309" s="158" t="s">
        <v>717</v>
      </c>
      <c r="C309" s="159" t="s">
        <v>1076</v>
      </c>
      <c r="D309" s="159">
        <v>50</v>
      </c>
      <c r="E309" s="142">
        <v>200</v>
      </c>
      <c r="F309" s="159">
        <v>80000</v>
      </c>
      <c r="G309" s="159">
        <v>11</v>
      </c>
      <c r="H309" s="159">
        <v>53</v>
      </c>
      <c r="I309" s="159">
        <v>26765</v>
      </c>
      <c r="J309" s="159">
        <v>5</v>
      </c>
      <c r="K309" s="159">
        <v>25</v>
      </c>
      <c r="L309" s="142">
        <v>5000</v>
      </c>
      <c r="M309" s="159">
        <v>12</v>
      </c>
      <c r="N309" s="159">
        <v>60</v>
      </c>
      <c r="O309" s="143">
        <v>12000</v>
      </c>
      <c r="P309" s="159">
        <v>78</v>
      </c>
      <c r="Q309" s="143">
        <v>151065</v>
      </c>
      <c r="R309" s="159">
        <v>27300</v>
      </c>
      <c r="S309" s="159">
        <v>78</v>
      </c>
      <c r="T309" s="159">
        <v>151065</v>
      </c>
      <c r="U309" s="159">
        <f t="shared" si="4"/>
        <v>120852</v>
      </c>
    </row>
    <row r="310" spans="1:21" x14ac:dyDescent="0.25">
      <c r="A310" s="159" t="s">
        <v>316</v>
      </c>
      <c r="B310" s="158" t="s">
        <v>718</v>
      </c>
      <c r="C310" s="159" t="s">
        <v>1077</v>
      </c>
      <c r="D310" s="159">
        <v>6</v>
      </c>
      <c r="E310" s="142">
        <v>30</v>
      </c>
      <c r="F310" s="159">
        <v>12000</v>
      </c>
      <c r="G310" s="159">
        <v>1</v>
      </c>
      <c r="H310" s="159">
        <v>3</v>
      </c>
      <c r="I310" s="159">
        <v>1515</v>
      </c>
      <c r="J310" s="159">
        <v>1</v>
      </c>
      <c r="K310" s="159">
        <v>10</v>
      </c>
      <c r="L310" s="142">
        <v>2000</v>
      </c>
      <c r="M310" s="159">
        <v>6</v>
      </c>
      <c r="N310" s="159">
        <v>42</v>
      </c>
      <c r="O310" s="143">
        <v>8400</v>
      </c>
      <c r="P310" s="159">
        <v>14</v>
      </c>
      <c r="Q310" s="143">
        <v>28815</v>
      </c>
      <c r="R310" s="159">
        <v>4900</v>
      </c>
      <c r="S310" s="159">
        <v>14</v>
      </c>
      <c r="T310" s="159">
        <v>28815</v>
      </c>
      <c r="U310" s="159">
        <f t="shared" si="4"/>
        <v>23052</v>
      </c>
    </row>
    <row r="311" spans="1:21" x14ac:dyDescent="0.25">
      <c r="A311" s="159" t="s">
        <v>317</v>
      </c>
      <c r="B311" s="158" t="s">
        <v>497</v>
      </c>
      <c r="C311" s="159" t="s">
        <v>1078</v>
      </c>
      <c r="D311" s="159">
        <v>48</v>
      </c>
      <c r="E311" s="142">
        <v>240</v>
      </c>
      <c r="F311" s="159">
        <v>96000</v>
      </c>
      <c r="G311" s="159">
        <v>18</v>
      </c>
      <c r="H311" s="159">
        <v>86</v>
      </c>
      <c r="I311" s="159">
        <v>43430</v>
      </c>
      <c r="J311" s="159">
        <v>3</v>
      </c>
      <c r="K311" s="159">
        <v>21</v>
      </c>
      <c r="L311" s="142">
        <v>4200</v>
      </c>
      <c r="M311" s="159">
        <v>4</v>
      </c>
      <c r="N311" s="159">
        <v>28</v>
      </c>
      <c r="O311" s="143">
        <v>5600</v>
      </c>
      <c r="P311" s="159">
        <v>73</v>
      </c>
      <c r="Q311" s="143">
        <v>174780</v>
      </c>
      <c r="R311" s="159">
        <v>25550</v>
      </c>
      <c r="S311" s="159">
        <v>73</v>
      </c>
      <c r="T311" s="159">
        <v>174780</v>
      </c>
      <c r="U311" s="159">
        <f t="shared" si="4"/>
        <v>139824</v>
      </c>
    </row>
    <row r="312" spans="1:21" x14ac:dyDescent="0.25">
      <c r="A312" s="159" t="s">
        <v>318</v>
      </c>
      <c r="B312" s="158" t="s">
        <v>719</v>
      </c>
      <c r="C312" s="159" t="s">
        <v>1079</v>
      </c>
      <c r="D312" s="159">
        <v>61</v>
      </c>
      <c r="E312" s="142">
        <v>305</v>
      </c>
      <c r="F312" s="159">
        <v>122000</v>
      </c>
      <c r="G312" s="159">
        <v>24</v>
      </c>
      <c r="H312" s="159">
        <v>115</v>
      </c>
      <c r="I312" s="159">
        <v>58075</v>
      </c>
      <c r="J312" s="159">
        <v>8</v>
      </c>
      <c r="K312" s="159">
        <v>40</v>
      </c>
      <c r="L312" s="142">
        <v>8000</v>
      </c>
      <c r="M312" s="159">
        <v>6</v>
      </c>
      <c r="N312" s="159">
        <v>30</v>
      </c>
      <c r="O312" s="143">
        <v>6000</v>
      </c>
      <c r="P312" s="159">
        <v>99</v>
      </c>
      <c r="Q312" s="143">
        <v>228725</v>
      </c>
      <c r="R312" s="159">
        <v>34650</v>
      </c>
      <c r="S312" s="159">
        <v>99</v>
      </c>
      <c r="T312" s="159">
        <v>228725</v>
      </c>
      <c r="U312" s="159">
        <f t="shared" si="4"/>
        <v>182980</v>
      </c>
    </row>
    <row r="313" spans="1:21" x14ac:dyDescent="0.25">
      <c r="A313" s="159" t="s">
        <v>319</v>
      </c>
      <c r="B313" s="158" t="s">
        <v>720</v>
      </c>
      <c r="C313" s="159" t="s">
        <v>1080</v>
      </c>
      <c r="D313" s="159">
        <v>377</v>
      </c>
      <c r="E313" s="142">
        <v>2026</v>
      </c>
      <c r="F313" s="159">
        <v>810400</v>
      </c>
      <c r="G313" s="159">
        <v>0</v>
      </c>
      <c r="H313" s="159">
        <v>0</v>
      </c>
      <c r="I313" s="159">
        <v>0</v>
      </c>
      <c r="J313" s="159">
        <v>10</v>
      </c>
      <c r="K313" s="159">
        <v>70</v>
      </c>
      <c r="L313" s="142">
        <v>14000</v>
      </c>
      <c r="M313" s="159">
        <v>12</v>
      </c>
      <c r="N313" s="159">
        <v>84</v>
      </c>
      <c r="O313" s="143">
        <v>16800</v>
      </c>
      <c r="P313" s="159">
        <v>399</v>
      </c>
      <c r="Q313" s="143">
        <v>936000</v>
      </c>
      <c r="R313" s="159">
        <v>94800</v>
      </c>
      <c r="S313" s="159">
        <v>399</v>
      </c>
      <c r="T313" s="159">
        <v>936000</v>
      </c>
      <c r="U313" s="159">
        <f t="shared" si="4"/>
        <v>748800</v>
      </c>
    </row>
    <row r="314" spans="1:21" x14ac:dyDescent="0.25">
      <c r="A314" s="159" t="s">
        <v>320</v>
      </c>
      <c r="B314" s="158" t="s">
        <v>721</v>
      </c>
      <c r="C314" s="159" t="s">
        <v>1081</v>
      </c>
      <c r="D314" s="159">
        <v>192</v>
      </c>
      <c r="E314" s="142">
        <v>1114</v>
      </c>
      <c r="F314" s="159">
        <v>445600</v>
      </c>
      <c r="G314" s="159">
        <v>0</v>
      </c>
      <c r="H314" s="159">
        <v>0</v>
      </c>
      <c r="I314" s="159">
        <v>0</v>
      </c>
      <c r="J314" s="159">
        <v>6</v>
      </c>
      <c r="K314" s="159">
        <v>18</v>
      </c>
      <c r="L314" s="142">
        <v>3600</v>
      </c>
      <c r="M314" s="159">
        <v>7</v>
      </c>
      <c r="N314" s="159">
        <v>26</v>
      </c>
      <c r="O314" s="143">
        <v>5200</v>
      </c>
      <c r="P314" s="159">
        <v>205</v>
      </c>
      <c r="Q314" s="143">
        <v>510400</v>
      </c>
      <c r="R314" s="159">
        <v>56000</v>
      </c>
      <c r="S314" s="159">
        <v>205</v>
      </c>
      <c r="T314" s="159">
        <v>510400</v>
      </c>
      <c r="U314" s="159">
        <f t="shared" si="4"/>
        <v>408320</v>
      </c>
    </row>
    <row r="315" spans="1:21" x14ac:dyDescent="0.25">
      <c r="A315" s="159" t="s">
        <v>321</v>
      </c>
      <c r="B315" s="158" t="s">
        <v>722</v>
      </c>
      <c r="C315" s="159" t="s">
        <v>1082</v>
      </c>
      <c r="D315" s="159">
        <v>0</v>
      </c>
      <c r="E315" s="142">
        <v>0</v>
      </c>
      <c r="F315" s="159">
        <v>0</v>
      </c>
      <c r="G315" s="159">
        <v>0</v>
      </c>
      <c r="H315" s="159">
        <v>0</v>
      </c>
      <c r="I315" s="159">
        <v>0</v>
      </c>
      <c r="J315" s="159">
        <v>15</v>
      </c>
      <c r="K315" s="159">
        <v>60</v>
      </c>
      <c r="L315" s="142">
        <v>12000</v>
      </c>
      <c r="M315" s="159">
        <v>1</v>
      </c>
      <c r="N315" s="159">
        <v>5</v>
      </c>
      <c r="O315" s="143">
        <v>1000</v>
      </c>
      <c r="P315" s="159">
        <v>16</v>
      </c>
      <c r="Q315" s="143">
        <v>18600</v>
      </c>
      <c r="R315" s="159">
        <v>5600</v>
      </c>
      <c r="S315" s="159">
        <v>16</v>
      </c>
      <c r="T315" s="159">
        <v>18600</v>
      </c>
      <c r="U315" s="159">
        <f t="shared" si="4"/>
        <v>14880</v>
      </c>
    </row>
    <row r="316" spans="1:21" x14ac:dyDescent="0.25">
      <c r="A316" s="159" t="s">
        <v>322</v>
      </c>
      <c r="B316" s="158" t="s">
        <v>723</v>
      </c>
      <c r="C316" s="159" t="s">
        <v>1083</v>
      </c>
      <c r="D316" s="159">
        <v>43</v>
      </c>
      <c r="E316" s="142">
        <v>206</v>
      </c>
      <c r="F316" s="159">
        <v>82400</v>
      </c>
      <c r="G316" s="159">
        <v>0</v>
      </c>
      <c r="H316" s="159">
        <v>0</v>
      </c>
      <c r="I316" s="159">
        <v>0</v>
      </c>
      <c r="J316" s="159">
        <v>3</v>
      </c>
      <c r="K316" s="159">
        <v>11</v>
      </c>
      <c r="L316" s="142">
        <v>2200</v>
      </c>
      <c r="M316" s="159">
        <v>17</v>
      </c>
      <c r="N316" s="159">
        <v>85</v>
      </c>
      <c r="O316" s="143">
        <v>17000</v>
      </c>
      <c r="P316" s="159">
        <v>63</v>
      </c>
      <c r="Q316" s="143">
        <v>123650</v>
      </c>
      <c r="R316" s="159">
        <v>22050</v>
      </c>
      <c r="S316" s="159">
        <v>63</v>
      </c>
      <c r="T316" s="159">
        <v>123650</v>
      </c>
      <c r="U316" s="159">
        <f t="shared" si="4"/>
        <v>98920</v>
      </c>
    </row>
    <row r="317" spans="1:21" x14ac:dyDescent="0.25">
      <c r="A317" s="159" t="s">
        <v>323</v>
      </c>
      <c r="B317" s="158" t="s">
        <v>724</v>
      </c>
      <c r="C317" s="159" t="s">
        <v>1084</v>
      </c>
      <c r="D317" s="159">
        <v>196</v>
      </c>
      <c r="E317" s="142">
        <v>933</v>
      </c>
      <c r="F317" s="159">
        <v>373200</v>
      </c>
      <c r="G317" s="159">
        <v>0</v>
      </c>
      <c r="H317" s="159">
        <v>0</v>
      </c>
      <c r="I317" s="159">
        <v>0</v>
      </c>
      <c r="J317" s="159">
        <v>34</v>
      </c>
      <c r="K317" s="159">
        <v>170</v>
      </c>
      <c r="L317" s="142">
        <v>34000</v>
      </c>
      <c r="M317" s="159">
        <v>5</v>
      </c>
      <c r="N317" s="159">
        <v>25</v>
      </c>
      <c r="O317" s="143">
        <v>5000</v>
      </c>
      <c r="P317" s="159">
        <v>235</v>
      </c>
      <c r="Q317" s="143">
        <v>474200</v>
      </c>
      <c r="R317" s="159">
        <v>62000</v>
      </c>
      <c r="S317" s="159">
        <v>235</v>
      </c>
      <c r="T317" s="159">
        <v>474200</v>
      </c>
      <c r="U317" s="159">
        <f t="shared" si="4"/>
        <v>379360</v>
      </c>
    </row>
    <row r="318" spans="1:21" x14ac:dyDescent="0.25">
      <c r="A318" s="159" t="s">
        <v>324</v>
      </c>
      <c r="B318" s="158" t="s">
        <v>725</v>
      </c>
      <c r="C318" s="159" t="s">
        <v>1085</v>
      </c>
      <c r="D318" s="159">
        <v>2</v>
      </c>
      <c r="E318" s="142">
        <v>12</v>
      </c>
      <c r="F318" s="159">
        <v>4800</v>
      </c>
      <c r="G318" s="159">
        <v>0</v>
      </c>
      <c r="H318" s="159">
        <v>0</v>
      </c>
      <c r="I318" s="159">
        <v>0</v>
      </c>
      <c r="J318" s="159">
        <v>43</v>
      </c>
      <c r="K318" s="159">
        <v>234</v>
      </c>
      <c r="L318" s="142">
        <v>46800</v>
      </c>
      <c r="M318" s="159">
        <v>10</v>
      </c>
      <c r="N318" s="159">
        <v>70</v>
      </c>
      <c r="O318" s="143">
        <v>14000</v>
      </c>
      <c r="P318" s="159">
        <v>55</v>
      </c>
      <c r="Q318" s="143">
        <v>84850</v>
      </c>
      <c r="R318" s="159">
        <v>19250</v>
      </c>
      <c r="S318" s="159">
        <v>55</v>
      </c>
      <c r="T318" s="159">
        <v>84850</v>
      </c>
      <c r="U318" s="159">
        <f t="shared" si="4"/>
        <v>67880</v>
      </c>
    </row>
    <row r="319" spans="1:21" x14ac:dyDescent="0.25">
      <c r="A319" s="159" t="s">
        <v>325</v>
      </c>
      <c r="B319" s="158" t="s">
        <v>726</v>
      </c>
      <c r="C319" s="159" t="s">
        <v>1086</v>
      </c>
      <c r="D319" s="159">
        <v>40</v>
      </c>
      <c r="E319" s="142">
        <v>160</v>
      </c>
      <c r="F319" s="159">
        <v>64000</v>
      </c>
      <c r="G319" s="159">
        <v>20</v>
      </c>
      <c r="H319" s="159">
        <v>60</v>
      </c>
      <c r="I319" s="159">
        <v>30300</v>
      </c>
      <c r="J319" s="159">
        <v>8</v>
      </c>
      <c r="K319" s="159">
        <v>32</v>
      </c>
      <c r="L319" s="142">
        <v>6400</v>
      </c>
      <c r="M319" s="159">
        <v>8</v>
      </c>
      <c r="N319" s="159">
        <v>40</v>
      </c>
      <c r="O319" s="143">
        <v>8000</v>
      </c>
      <c r="P319" s="159">
        <v>76</v>
      </c>
      <c r="Q319" s="143">
        <v>135300</v>
      </c>
      <c r="R319" s="159">
        <v>26600</v>
      </c>
      <c r="S319" s="159">
        <v>76</v>
      </c>
      <c r="T319" s="159">
        <v>135300</v>
      </c>
      <c r="U319" s="159">
        <f t="shared" si="4"/>
        <v>108240</v>
      </c>
    </row>
    <row r="320" spans="1:21" x14ac:dyDescent="0.25">
      <c r="A320" s="159" t="s">
        <v>727</v>
      </c>
      <c r="B320" s="158" t="s">
        <v>728</v>
      </c>
      <c r="C320" s="159" t="s">
        <v>1087</v>
      </c>
      <c r="D320" s="159">
        <v>0</v>
      </c>
      <c r="E320" s="142">
        <v>0</v>
      </c>
      <c r="F320" s="159">
        <v>0</v>
      </c>
      <c r="G320" s="159">
        <v>7</v>
      </c>
      <c r="H320" s="159">
        <v>14</v>
      </c>
      <c r="I320" s="159">
        <v>7070</v>
      </c>
      <c r="J320" s="159">
        <v>11</v>
      </c>
      <c r="K320" s="159">
        <v>22</v>
      </c>
      <c r="L320" s="142">
        <v>4400</v>
      </c>
      <c r="M320" s="159">
        <v>1</v>
      </c>
      <c r="N320" s="159">
        <v>3</v>
      </c>
      <c r="O320" s="143">
        <v>600</v>
      </c>
      <c r="P320" s="159">
        <v>19</v>
      </c>
      <c r="Q320" s="143">
        <v>18720</v>
      </c>
      <c r="R320" s="159">
        <v>6650</v>
      </c>
      <c r="S320" s="159">
        <v>19</v>
      </c>
      <c r="T320" s="159">
        <v>18720</v>
      </c>
      <c r="U320" s="159">
        <f t="shared" si="4"/>
        <v>14976</v>
      </c>
    </row>
    <row r="321" spans="1:21" x14ac:dyDescent="0.25">
      <c r="A321" s="159" t="s">
        <v>326</v>
      </c>
      <c r="B321" s="158" t="s">
        <v>729</v>
      </c>
      <c r="C321" s="159" t="s">
        <v>1088</v>
      </c>
      <c r="D321" s="159">
        <v>205</v>
      </c>
      <c r="E321" s="142">
        <v>1189</v>
      </c>
      <c r="F321" s="159">
        <v>475600</v>
      </c>
      <c r="G321" s="159">
        <v>0</v>
      </c>
      <c r="H321" s="159">
        <v>0</v>
      </c>
      <c r="I321" s="159">
        <v>0</v>
      </c>
      <c r="J321" s="159">
        <v>22</v>
      </c>
      <c r="K321" s="159">
        <v>132</v>
      </c>
      <c r="L321" s="142">
        <v>26400</v>
      </c>
      <c r="M321" s="159">
        <v>17</v>
      </c>
      <c r="N321" s="159">
        <v>102</v>
      </c>
      <c r="O321" s="143">
        <v>20400</v>
      </c>
      <c r="P321" s="159">
        <v>244</v>
      </c>
      <c r="Q321" s="143">
        <v>586200</v>
      </c>
      <c r="R321" s="159">
        <v>63800</v>
      </c>
      <c r="S321" s="159">
        <v>244</v>
      </c>
      <c r="T321" s="159">
        <v>586200</v>
      </c>
      <c r="U321" s="159">
        <f t="shared" si="4"/>
        <v>468960</v>
      </c>
    </row>
    <row r="322" spans="1:21" x14ac:dyDescent="0.25">
      <c r="A322" s="159" t="s">
        <v>327</v>
      </c>
      <c r="B322" s="158" t="s">
        <v>498</v>
      </c>
      <c r="C322" s="159" t="s">
        <v>1089</v>
      </c>
      <c r="D322" s="159">
        <v>109</v>
      </c>
      <c r="E322" s="142">
        <v>597</v>
      </c>
      <c r="F322" s="159">
        <v>238800</v>
      </c>
      <c r="G322" s="159">
        <v>0</v>
      </c>
      <c r="H322" s="159">
        <v>0</v>
      </c>
      <c r="I322" s="159">
        <v>0</v>
      </c>
      <c r="J322" s="159">
        <v>9</v>
      </c>
      <c r="K322" s="159">
        <v>54</v>
      </c>
      <c r="L322" s="142">
        <v>10800</v>
      </c>
      <c r="M322" s="159">
        <v>11</v>
      </c>
      <c r="N322" s="159">
        <v>66</v>
      </c>
      <c r="O322" s="143">
        <v>13200</v>
      </c>
      <c r="P322" s="159">
        <v>129</v>
      </c>
      <c r="Q322" s="143">
        <v>303600</v>
      </c>
      <c r="R322" s="159">
        <v>40800</v>
      </c>
      <c r="S322" s="159">
        <v>129</v>
      </c>
      <c r="T322" s="159">
        <v>303600</v>
      </c>
      <c r="U322" s="159">
        <f t="shared" si="4"/>
        <v>242880</v>
      </c>
    </row>
    <row r="323" spans="1:21" x14ac:dyDescent="0.25">
      <c r="A323" s="159" t="s">
        <v>328</v>
      </c>
      <c r="B323" s="158" t="s">
        <v>498</v>
      </c>
      <c r="C323" s="159" t="s">
        <v>1090</v>
      </c>
      <c r="D323" s="159">
        <v>3</v>
      </c>
      <c r="E323" s="142">
        <v>17</v>
      </c>
      <c r="F323" s="159">
        <v>6800</v>
      </c>
      <c r="G323" s="159">
        <v>250</v>
      </c>
      <c r="H323" s="159">
        <v>1200</v>
      </c>
      <c r="I323" s="159">
        <v>606000</v>
      </c>
      <c r="J323" s="159">
        <v>8</v>
      </c>
      <c r="K323" s="159">
        <v>80</v>
      </c>
      <c r="L323" s="142">
        <v>16000</v>
      </c>
      <c r="M323" s="159">
        <v>7</v>
      </c>
      <c r="N323" s="159">
        <v>70</v>
      </c>
      <c r="O323" s="143">
        <v>14000</v>
      </c>
      <c r="P323" s="159">
        <v>268</v>
      </c>
      <c r="Q323" s="143">
        <v>711400</v>
      </c>
      <c r="R323" s="159">
        <v>68600</v>
      </c>
      <c r="S323" s="159">
        <v>268</v>
      </c>
      <c r="T323" s="159">
        <v>711400</v>
      </c>
      <c r="U323" s="159">
        <f t="shared" si="4"/>
        <v>569120</v>
      </c>
    </row>
    <row r="324" spans="1:21" x14ac:dyDescent="0.25">
      <c r="A324" s="159" t="s">
        <v>329</v>
      </c>
      <c r="B324" s="158" t="s">
        <v>499</v>
      </c>
      <c r="C324" s="159" t="s">
        <v>1091</v>
      </c>
      <c r="D324" s="159">
        <v>7</v>
      </c>
      <c r="E324" s="142">
        <v>41</v>
      </c>
      <c r="F324" s="159">
        <v>16400</v>
      </c>
      <c r="G324" s="159">
        <v>1</v>
      </c>
      <c r="H324" s="159">
        <v>4</v>
      </c>
      <c r="I324" s="159">
        <v>2020</v>
      </c>
      <c r="J324" s="159">
        <v>14</v>
      </c>
      <c r="K324" s="159">
        <v>60</v>
      </c>
      <c r="L324" s="142">
        <v>12000</v>
      </c>
      <c r="M324" s="159">
        <v>2</v>
      </c>
      <c r="N324" s="159">
        <v>12</v>
      </c>
      <c r="O324" s="143">
        <v>2400</v>
      </c>
      <c r="P324" s="159">
        <v>24</v>
      </c>
      <c r="Q324" s="143">
        <v>41220</v>
      </c>
      <c r="R324" s="159">
        <v>8400</v>
      </c>
      <c r="S324" s="159">
        <v>24</v>
      </c>
      <c r="T324" s="159">
        <v>41220</v>
      </c>
      <c r="U324" s="159">
        <f t="shared" ref="U324:U349" si="5">T324*0.8</f>
        <v>32976</v>
      </c>
    </row>
    <row r="325" spans="1:21" x14ac:dyDescent="0.25">
      <c r="A325" s="159" t="s">
        <v>330</v>
      </c>
      <c r="B325" s="158" t="s">
        <v>730</v>
      </c>
      <c r="C325" s="159" t="s">
        <v>1092</v>
      </c>
      <c r="D325" s="159">
        <v>536</v>
      </c>
      <c r="E325" s="142">
        <v>3109</v>
      </c>
      <c r="F325" s="159">
        <v>1243600</v>
      </c>
      <c r="G325" s="159">
        <v>0</v>
      </c>
      <c r="H325" s="159">
        <v>0</v>
      </c>
      <c r="I325" s="159">
        <v>0</v>
      </c>
      <c r="J325" s="159">
        <v>36</v>
      </c>
      <c r="K325" s="159">
        <v>324</v>
      </c>
      <c r="L325" s="142">
        <v>64800</v>
      </c>
      <c r="M325" s="159">
        <v>15</v>
      </c>
      <c r="N325" s="159">
        <v>75</v>
      </c>
      <c r="O325" s="143">
        <v>15000</v>
      </c>
      <c r="P325" s="159">
        <v>587</v>
      </c>
      <c r="Q325" s="143">
        <v>1455800</v>
      </c>
      <c r="R325" s="159">
        <v>132400</v>
      </c>
      <c r="S325" s="159">
        <v>587</v>
      </c>
      <c r="T325" s="159">
        <v>1455800</v>
      </c>
      <c r="U325" s="159">
        <f t="shared" si="5"/>
        <v>1164640</v>
      </c>
    </row>
    <row r="326" spans="1:21" x14ac:dyDescent="0.25">
      <c r="A326" s="159" t="s">
        <v>331</v>
      </c>
      <c r="B326" s="158" t="s">
        <v>731</v>
      </c>
      <c r="C326" s="159" t="s">
        <v>1093</v>
      </c>
      <c r="D326" s="159">
        <v>133</v>
      </c>
      <c r="E326" s="142">
        <v>665</v>
      </c>
      <c r="F326" s="159">
        <v>266000</v>
      </c>
      <c r="G326" s="159">
        <v>0</v>
      </c>
      <c r="H326" s="159">
        <v>0</v>
      </c>
      <c r="I326" s="159">
        <v>0</v>
      </c>
      <c r="J326" s="159">
        <v>3</v>
      </c>
      <c r="K326" s="159">
        <v>18</v>
      </c>
      <c r="L326" s="142">
        <v>3600</v>
      </c>
      <c r="M326" s="159">
        <v>7</v>
      </c>
      <c r="N326" s="159">
        <v>58</v>
      </c>
      <c r="O326" s="143">
        <v>11600</v>
      </c>
      <c r="P326" s="159">
        <v>143</v>
      </c>
      <c r="Q326" s="143">
        <v>324800</v>
      </c>
      <c r="R326" s="159">
        <v>43600</v>
      </c>
      <c r="S326" s="159">
        <v>143</v>
      </c>
      <c r="T326" s="159">
        <v>324800</v>
      </c>
      <c r="U326" s="159">
        <f t="shared" si="5"/>
        <v>259840</v>
      </c>
    </row>
    <row r="327" spans="1:21" x14ac:dyDescent="0.25">
      <c r="A327" s="159" t="s">
        <v>332</v>
      </c>
      <c r="B327" s="158" t="s">
        <v>500</v>
      </c>
      <c r="C327" s="159" t="s">
        <v>1094</v>
      </c>
      <c r="D327" s="159">
        <v>28</v>
      </c>
      <c r="E327" s="142">
        <v>140</v>
      </c>
      <c r="F327" s="159">
        <v>56000</v>
      </c>
      <c r="G327" s="159">
        <v>0</v>
      </c>
      <c r="H327" s="159">
        <v>0</v>
      </c>
      <c r="I327" s="159">
        <v>0</v>
      </c>
      <c r="J327" s="159">
        <v>12</v>
      </c>
      <c r="K327" s="159">
        <v>72</v>
      </c>
      <c r="L327" s="142">
        <v>14400</v>
      </c>
      <c r="M327" s="159">
        <v>17</v>
      </c>
      <c r="N327" s="159">
        <v>102</v>
      </c>
      <c r="O327" s="143">
        <v>20400</v>
      </c>
      <c r="P327" s="159">
        <v>57</v>
      </c>
      <c r="Q327" s="143">
        <v>110750</v>
      </c>
      <c r="R327" s="159">
        <v>19950</v>
      </c>
      <c r="S327" s="159">
        <v>57</v>
      </c>
      <c r="T327" s="159">
        <v>110750</v>
      </c>
      <c r="U327" s="159">
        <f t="shared" si="5"/>
        <v>88600</v>
      </c>
    </row>
    <row r="328" spans="1:21" x14ac:dyDescent="0.25">
      <c r="A328" s="159" t="s">
        <v>333</v>
      </c>
      <c r="B328" s="158" t="s">
        <v>732</v>
      </c>
      <c r="C328" s="159" t="s">
        <v>1095</v>
      </c>
      <c r="D328" s="159">
        <v>57</v>
      </c>
      <c r="E328" s="142">
        <v>285</v>
      </c>
      <c r="F328" s="159">
        <v>114000</v>
      </c>
      <c r="G328" s="159">
        <v>20</v>
      </c>
      <c r="H328" s="159">
        <v>96</v>
      </c>
      <c r="I328" s="159">
        <v>48480</v>
      </c>
      <c r="J328" s="159">
        <v>6</v>
      </c>
      <c r="K328" s="159">
        <v>30</v>
      </c>
      <c r="L328" s="142">
        <v>6000</v>
      </c>
      <c r="M328" s="159">
        <v>25</v>
      </c>
      <c r="N328" s="159">
        <v>125</v>
      </c>
      <c r="O328" s="143">
        <v>25000</v>
      </c>
      <c r="P328" s="159">
        <v>108</v>
      </c>
      <c r="Q328" s="143">
        <v>230080</v>
      </c>
      <c r="R328" s="159">
        <v>36600</v>
      </c>
      <c r="S328" s="159">
        <v>108</v>
      </c>
      <c r="T328" s="159">
        <v>230080</v>
      </c>
      <c r="U328" s="159">
        <f t="shared" si="5"/>
        <v>184064</v>
      </c>
    </row>
    <row r="329" spans="1:21" x14ac:dyDescent="0.25">
      <c r="A329" s="159" t="s">
        <v>334</v>
      </c>
      <c r="B329" s="158" t="s">
        <v>733</v>
      </c>
      <c r="C329" s="159" t="s">
        <v>1096</v>
      </c>
      <c r="D329" s="159">
        <v>29</v>
      </c>
      <c r="E329" s="142">
        <v>118</v>
      </c>
      <c r="F329" s="159">
        <v>47200</v>
      </c>
      <c r="G329" s="159">
        <v>0</v>
      </c>
      <c r="H329" s="159">
        <v>0</v>
      </c>
      <c r="I329" s="159">
        <v>0</v>
      </c>
      <c r="J329" s="159">
        <v>17</v>
      </c>
      <c r="K329" s="159">
        <v>85</v>
      </c>
      <c r="L329" s="142">
        <v>17000</v>
      </c>
      <c r="M329" s="159">
        <v>10</v>
      </c>
      <c r="N329" s="159">
        <v>50</v>
      </c>
      <c r="O329" s="143">
        <v>10000</v>
      </c>
      <c r="P329" s="159">
        <v>56</v>
      </c>
      <c r="Q329" s="143">
        <v>93800</v>
      </c>
      <c r="R329" s="159">
        <v>19600</v>
      </c>
      <c r="S329" s="159">
        <v>56</v>
      </c>
      <c r="T329" s="159">
        <v>93800</v>
      </c>
      <c r="U329" s="159">
        <f t="shared" si="5"/>
        <v>75040</v>
      </c>
    </row>
    <row r="330" spans="1:21" x14ac:dyDescent="0.25">
      <c r="A330" s="159" t="s">
        <v>335</v>
      </c>
      <c r="B330" s="158" t="s">
        <v>501</v>
      </c>
      <c r="C330" s="159" t="s">
        <v>1097</v>
      </c>
      <c r="D330" s="159">
        <v>18</v>
      </c>
      <c r="E330" s="142">
        <v>63</v>
      </c>
      <c r="F330" s="159">
        <v>25200</v>
      </c>
      <c r="G330" s="159">
        <v>30</v>
      </c>
      <c r="H330" s="159">
        <v>75</v>
      </c>
      <c r="I330" s="159">
        <v>37875</v>
      </c>
      <c r="J330" s="159">
        <v>6</v>
      </c>
      <c r="K330" s="159">
        <v>27</v>
      </c>
      <c r="L330" s="142">
        <v>5400</v>
      </c>
      <c r="M330" s="159">
        <v>4</v>
      </c>
      <c r="N330" s="159">
        <v>20</v>
      </c>
      <c r="O330" s="143">
        <v>4000</v>
      </c>
      <c r="P330" s="159">
        <v>58</v>
      </c>
      <c r="Q330" s="143">
        <v>92775</v>
      </c>
      <c r="R330" s="159">
        <v>20300</v>
      </c>
      <c r="S330" s="159">
        <v>58</v>
      </c>
      <c r="T330" s="159">
        <v>92775</v>
      </c>
      <c r="U330" s="159">
        <f t="shared" si="5"/>
        <v>74220</v>
      </c>
    </row>
    <row r="331" spans="1:21" x14ac:dyDescent="0.25">
      <c r="A331" s="159" t="s">
        <v>336</v>
      </c>
      <c r="B331" s="158" t="s">
        <v>502</v>
      </c>
      <c r="C331" s="159" t="s">
        <v>1098</v>
      </c>
      <c r="D331" s="159">
        <v>24</v>
      </c>
      <c r="E331" s="142">
        <v>120</v>
      </c>
      <c r="F331" s="159">
        <v>48000</v>
      </c>
      <c r="G331" s="159">
        <v>0</v>
      </c>
      <c r="H331" s="159">
        <v>0</v>
      </c>
      <c r="I331" s="159">
        <v>0</v>
      </c>
      <c r="J331" s="159">
        <v>2</v>
      </c>
      <c r="K331" s="159">
        <v>14</v>
      </c>
      <c r="L331" s="142">
        <v>2800</v>
      </c>
      <c r="M331" s="159">
        <v>1</v>
      </c>
      <c r="N331" s="159">
        <v>7</v>
      </c>
      <c r="O331" s="143">
        <v>1400</v>
      </c>
      <c r="P331" s="159">
        <v>27</v>
      </c>
      <c r="Q331" s="143">
        <v>61650</v>
      </c>
      <c r="R331" s="159">
        <v>9450</v>
      </c>
      <c r="S331" s="159">
        <v>27</v>
      </c>
      <c r="T331" s="159">
        <v>61650</v>
      </c>
      <c r="U331" s="159">
        <f t="shared" si="5"/>
        <v>49320</v>
      </c>
    </row>
    <row r="332" spans="1:21" x14ac:dyDescent="0.25">
      <c r="A332" s="159" t="s">
        <v>337</v>
      </c>
      <c r="B332" s="158" t="s">
        <v>734</v>
      </c>
      <c r="C332" s="159" t="s">
        <v>1099</v>
      </c>
      <c r="D332" s="159">
        <v>130</v>
      </c>
      <c r="E332" s="142">
        <v>650</v>
      </c>
      <c r="F332" s="159">
        <v>260000</v>
      </c>
      <c r="G332" s="159">
        <v>0</v>
      </c>
      <c r="H332" s="159">
        <v>0</v>
      </c>
      <c r="I332" s="159">
        <v>0</v>
      </c>
      <c r="J332" s="159">
        <v>31</v>
      </c>
      <c r="K332" s="159">
        <v>155</v>
      </c>
      <c r="L332" s="142">
        <v>31000</v>
      </c>
      <c r="M332" s="159">
        <v>40</v>
      </c>
      <c r="N332" s="159">
        <v>400</v>
      </c>
      <c r="O332" s="143">
        <v>80000</v>
      </c>
      <c r="P332" s="159">
        <v>201</v>
      </c>
      <c r="Q332" s="143">
        <v>426200</v>
      </c>
      <c r="R332" s="159">
        <v>55200</v>
      </c>
      <c r="S332" s="159">
        <v>201</v>
      </c>
      <c r="T332" s="159">
        <v>426200</v>
      </c>
      <c r="U332" s="159">
        <f t="shared" si="5"/>
        <v>340960</v>
      </c>
    </row>
    <row r="333" spans="1:21" x14ac:dyDescent="0.25">
      <c r="A333" s="159" t="s">
        <v>338</v>
      </c>
      <c r="B333" s="158" t="s">
        <v>735</v>
      </c>
      <c r="C333" s="159" t="s">
        <v>1100</v>
      </c>
      <c r="D333" s="159">
        <v>22</v>
      </c>
      <c r="E333" s="142">
        <v>128</v>
      </c>
      <c r="F333" s="159">
        <v>51200</v>
      </c>
      <c r="G333" s="159">
        <v>0</v>
      </c>
      <c r="H333" s="159">
        <v>0</v>
      </c>
      <c r="I333" s="159">
        <v>0</v>
      </c>
      <c r="J333" s="159">
        <v>22</v>
      </c>
      <c r="K333" s="159">
        <v>110</v>
      </c>
      <c r="L333" s="142">
        <v>22000</v>
      </c>
      <c r="M333" s="159">
        <v>6</v>
      </c>
      <c r="N333" s="159">
        <v>36</v>
      </c>
      <c r="O333" s="143">
        <v>7200</v>
      </c>
      <c r="P333" s="159">
        <v>50</v>
      </c>
      <c r="Q333" s="143">
        <v>97900</v>
      </c>
      <c r="R333" s="159">
        <v>17500</v>
      </c>
      <c r="S333" s="159">
        <v>50</v>
      </c>
      <c r="T333" s="159">
        <v>97900</v>
      </c>
      <c r="U333" s="159">
        <f t="shared" si="5"/>
        <v>78320</v>
      </c>
    </row>
    <row r="334" spans="1:21" x14ac:dyDescent="0.25">
      <c r="A334" s="159" t="s">
        <v>339</v>
      </c>
      <c r="B334" s="158" t="s">
        <v>736</v>
      </c>
      <c r="C334" s="159" t="s">
        <v>1101</v>
      </c>
      <c r="D334" s="159">
        <v>22</v>
      </c>
      <c r="E334" s="142">
        <v>95</v>
      </c>
      <c r="F334" s="159">
        <v>38000</v>
      </c>
      <c r="G334" s="159">
        <v>0</v>
      </c>
      <c r="H334" s="159">
        <v>0</v>
      </c>
      <c r="I334" s="159">
        <v>0</v>
      </c>
      <c r="J334" s="159">
        <v>7</v>
      </c>
      <c r="K334" s="159">
        <v>49</v>
      </c>
      <c r="L334" s="142">
        <v>9800</v>
      </c>
      <c r="M334" s="159">
        <v>11</v>
      </c>
      <c r="N334" s="159">
        <v>77</v>
      </c>
      <c r="O334" s="143">
        <v>15400</v>
      </c>
      <c r="P334" s="159">
        <v>40</v>
      </c>
      <c r="Q334" s="143">
        <v>77200</v>
      </c>
      <c r="R334" s="159">
        <v>14000</v>
      </c>
      <c r="S334" s="159">
        <v>40</v>
      </c>
      <c r="T334" s="159">
        <v>77200</v>
      </c>
      <c r="U334" s="159">
        <f t="shared" si="5"/>
        <v>61760</v>
      </c>
    </row>
    <row r="335" spans="1:21" x14ac:dyDescent="0.25">
      <c r="A335" s="159" t="s">
        <v>340</v>
      </c>
      <c r="B335" s="158" t="s">
        <v>737</v>
      </c>
      <c r="C335" s="159" t="s">
        <v>1102</v>
      </c>
      <c r="D335" s="159">
        <v>83</v>
      </c>
      <c r="E335" s="142">
        <v>475</v>
      </c>
      <c r="F335" s="159">
        <v>190000</v>
      </c>
      <c r="G335" s="159">
        <v>0</v>
      </c>
      <c r="H335" s="159">
        <v>0</v>
      </c>
      <c r="I335" s="159">
        <v>0</v>
      </c>
      <c r="J335" s="159">
        <v>2</v>
      </c>
      <c r="K335" s="159">
        <v>8</v>
      </c>
      <c r="L335" s="142">
        <v>1600</v>
      </c>
      <c r="M335" s="159">
        <v>2</v>
      </c>
      <c r="N335" s="159">
        <v>10</v>
      </c>
      <c r="O335" s="143">
        <v>2000</v>
      </c>
      <c r="P335" s="159">
        <v>87</v>
      </c>
      <c r="Q335" s="143">
        <v>224050</v>
      </c>
      <c r="R335" s="159">
        <v>30450</v>
      </c>
      <c r="S335" s="159">
        <v>87</v>
      </c>
      <c r="T335" s="159">
        <v>224050</v>
      </c>
      <c r="U335" s="159">
        <f t="shared" si="5"/>
        <v>179240</v>
      </c>
    </row>
    <row r="336" spans="1:21" x14ac:dyDescent="0.25">
      <c r="A336" s="159" t="s">
        <v>341</v>
      </c>
      <c r="B336" s="158" t="s">
        <v>503</v>
      </c>
      <c r="C336" s="159" t="s">
        <v>1103</v>
      </c>
      <c r="D336" s="159">
        <v>100</v>
      </c>
      <c r="E336" s="142">
        <v>500</v>
      </c>
      <c r="F336" s="159">
        <v>200000</v>
      </c>
      <c r="G336" s="159">
        <v>60</v>
      </c>
      <c r="H336" s="159">
        <v>288</v>
      </c>
      <c r="I336" s="159">
        <v>145440</v>
      </c>
      <c r="J336" s="159">
        <v>10</v>
      </c>
      <c r="K336" s="159">
        <v>50</v>
      </c>
      <c r="L336" s="142">
        <v>10000</v>
      </c>
      <c r="M336" s="159">
        <v>20</v>
      </c>
      <c r="N336" s="159">
        <v>100</v>
      </c>
      <c r="O336" s="143">
        <v>20000</v>
      </c>
      <c r="P336" s="159">
        <v>190</v>
      </c>
      <c r="Q336" s="143">
        <v>428440</v>
      </c>
      <c r="R336" s="159">
        <v>53000</v>
      </c>
      <c r="S336" s="159">
        <v>190</v>
      </c>
      <c r="T336" s="159">
        <v>428440</v>
      </c>
      <c r="U336" s="159">
        <f t="shared" si="5"/>
        <v>342752</v>
      </c>
    </row>
    <row r="337" spans="1:21" x14ac:dyDescent="0.25">
      <c r="A337" s="159" t="s">
        <v>342</v>
      </c>
      <c r="B337" s="158" t="s">
        <v>738</v>
      </c>
      <c r="C337" s="159" t="s">
        <v>1104</v>
      </c>
      <c r="D337" s="159">
        <v>11</v>
      </c>
      <c r="E337" s="142">
        <v>64</v>
      </c>
      <c r="F337" s="159">
        <v>25600</v>
      </c>
      <c r="G337" s="159">
        <v>85</v>
      </c>
      <c r="H337" s="159">
        <v>264</v>
      </c>
      <c r="I337" s="159">
        <v>133320</v>
      </c>
      <c r="J337" s="159">
        <v>8</v>
      </c>
      <c r="K337" s="159">
        <v>36</v>
      </c>
      <c r="L337" s="142">
        <v>7200</v>
      </c>
      <c r="M337" s="159">
        <v>20</v>
      </c>
      <c r="N337" s="159">
        <v>200</v>
      </c>
      <c r="O337" s="143">
        <v>40000</v>
      </c>
      <c r="P337" s="159">
        <v>124</v>
      </c>
      <c r="Q337" s="143">
        <v>245920</v>
      </c>
      <c r="R337" s="159">
        <v>39800</v>
      </c>
      <c r="S337" s="159">
        <v>124</v>
      </c>
      <c r="T337" s="159">
        <v>245920</v>
      </c>
      <c r="U337" s="159">
        <f t="shared" si="5"/>
        <v>196736</v>
      </c>
    </row>
    <row r="338" spans="1:21" x14ac:dyDescent="0.25">
      <c r="A338" s="159" t="s">
        <v>343</v>
      </c>
      <c r="B338" s="158" t="s">
        <v>739</v>
      </c>
      <c r="C338" s="159" t="s">
        <v>1105</v>
      </c>
      <c r="D338" s="159">
        <v>33</v>
      </c>
      <c r="E338" s="142">
        <v>148</v>
      </c>
      <c r="F338" s="159">
        <v>59200</v>
      </c>
      <c r="G338" s="159">
        <v>0</v>
      </c>
      <c r="H338" s="159">
        <v>0</v>
      </c>
      <c r="I338" s="159">
        <v>0</v>
      </c>
      <c r="J338" s="159">
        <v>12</v>
      </c>
      <c r="K338" s="159">
        <v>50</v>
      </c>
      <c r="L338" s="142">
        <v>10000</v>
      </c>
      <c r="M338" s="159">
        <v>7</v>
      </c>
      <c r="N338" s="159">
        <v>35</v>
      </c>
      <c r="O338" s="143">
        <v>7000</v>
      </c>
      <c r="P338" s="159">
        <v>52</v>
      </c>
      <c r="Q338" s="143">
        <v>94400</v>
      </c>
      <c r="R338" s="159">
        <v>18200</v>
      </c>
      <c r="S338" s="159">
        <v>52</v>
      </c>
      <c r="T338" s="159">
        <v>94400</v>
      </c>
      <c r="U338" s="159">
        <f t="shared" si="5"/>
        <v>75520</v>
      </c>
    </row>
    <row r="339" spans="1:21" x14ac:dyDescent="0.25">
      <c r="A339" s="159" t="s">
        <v>344</v>
      </c>
      <c r="B339" s="158" t="s">
        <v>740</v>
      </c>
      <c r="C339" s="159" t="s">
        <v>1106</v>
      </c>
      <c r="D339" s="159">
        <v>98</v>
      </c>
      <c r="E339" s="142">
        <v>490</v>
      </c>
      <c r="F339" s="159">
        <v>196000</v>
      </c>
      <c r="G339" s="159">
        <v>54</v>
      </c>
      <c r="H339" s="159">
        <v>259</v>
      </c>
      <c r="I339" s="159">
        <v>130795</v>
      </c>
      <c r="J339" s="159">
        <v>24</v>
      </c>
      <c r="K339" s="159">
        <v>144</v>
      </c>
      <c r="L339" s="142">
        <v>28800</v>
      </c>
      <c r="M339" s="159">
        <v>19</v>
      </c>
      <c r="N339" s="159">
        <v>114</v>
      </c>
      <c r="O339" s="143">
        <v>22800</v>
      </c>
      <c r="P339" s="159">
        <v>195</v>
      </c>
      <c r="Q339" s="143">
        <v>432395</v>
      </c>
      <c r="R339" s="159">
        <v>54000</v>
      </c>
      <c r="S339" s="159">
        <v>195</v>
      </c>
      <c r="T339" s="159">
        <v>432395</v>
      </c>
      <c r="U339" s="159">
        <f t="shared" si="5"/>
        <v>345916</v>
      </c>
    </row>
    <row r="340" spans="1:21" x14ac:dyDescent="0.25">
      <c r="A340" s="159" t="s">
        <v>345</v>
      </c>
      <c r="B340" s="158" t="s">
        <v>741</v>
      </c>
      <c r="C340" s="159" t="s">
        <v>1107</v>
      </c>
      <c r="D340" s="159">
        <v>25</v>
      </c>
      <c r="E340" s="142">
        <v>125</v>
      </c>
      <c r="F340" s="159">
        <v>50000</v>
      </c>
      <c r="G340" s="159">
        <v>6</v>
      </c>
      <c r="H340" s="159">
        <v>27</v>
      </c>
      <c r="I340" s="159">
        <v>13635</v>
      </c>
      <c r="J340" s="159">
        <v>20</v>
      </c>
      <c r="K340" s="159">
        <v>100</v>
      </c>
      <c r="L340" s="142">
        <v>20000</v>
      </c>
      <c r="M340" s="159">
        <v>1</v>
      </c>
      <c r="N340" s="159">
        <v>5</v>
      </c>
      <c r="O340" s="143">
        <v>1000</v>
      </c>
      <c r="P340" s="159">
        <v>52</v>
      </c>
      <c r="Q340" s="143">
        <v>102835</v>
      </c>
      <c r="R340" s="159">
        <v>18200</v>
      </c>
      <c r="S340" s="159">
        <v>52</v>
      </c>
      <c r="T340" s="159">
        <v>102835</v>
      </c>
      <c r="U340" s="159">
        <f t="shared" si="5"/>
        <v>82268</v>
      </c>
    </row>
    <row r="341" spans="1:21" x14ac:dyDescent="0.25">
      <c r="A341" s="159" t="s">
        <v>346</v>
      </c>
      <c r="B341" s="158" t="s">
        <v>742</v>
      </c>
      <c r="C341" s="159" t="s">
        <v>1108</v>
      </c>
      <c r="D341" s="159">
        <v>28</v>
      </c>
      <c r="E341" s="142">
        <v>140</v>
      </c>
      <c r="F341" s="159">
        <v>56000</v>
      </c>
      <c r="G341" s="159">
        <v>24</v>
      </c>
      <c r="H341" s="159">
        <v>104</v>
      </c>
      <c r="I341" s="159">
        <v>52520</v>
      </c>
      <c r="J341" s="159">
        <v>4</v>
      </c>
      <c r="K341" s="159">
        <v>20</v>
      </c>
      <c r="L341" s="142">
        <v>4000</v>
      </c>
      <c r="M341" s="159">
        <v>4</v>
      </c>
      <c r="N341" s="159">
        <v>20</v>
      </c>
      <c r="O341" s="143">
        <v>4000</v>
      </c>
      <c r="P341" s="159">
        <v>60</v>
      </c>
      <c r="Q341" s="143">
        <v>137520</v>
      </c>
      <c r="R341" s="159">
        <v>21000</v>
      </c>
      <c r="S341" s="159">
        <v>60</v>
      </c>
      <c r="T341" s="159">
        <v>137520</v>
      </c>
      <c r="U341" s="159">
        <f t="shared" si="5"/>
        <v>110016</v>
      </c>
    </row>
    <row r="342" spans="1:21" x14ac:dyDescent="0.25">
      <c r="A342" s="159" t="s">
        <v>347</v>
      </c>
      <c r="B342" s="158" t="s">
        <v>743</v>
      </c>
      <c r="C342" s="159" t="s">
        <v>1109</v>
      </c>
      <c r="D342" s="159">
        <v>55</v>
      </c>
      <c r="E342" s="142">
        <v>248</v>
      </c>
      <c r="F342" s="159">
        <v>99200</v>
      </c>
      <c r="G342" s="159">
        <v>0</v>
      </c>
      <c r="H342" s="159">
        <v>0</v>
      </c>
      <c r="I342" s="159">
        <v>0</v>
      </c>
      <c r="J342" s="159">
        <v>12</v>
      </c>
      <c r="K342" s="159">
        <v>84</v>
      </c>
      <c r="L342" s="142">
        <v>16800</v>
      </c>
      <c r="M342" s="159">
        <v>6</v>
      </c>
      <c r="N342" s="159">
        <v>30</v>
      </c>
      <c r="O342" s="143">
        <v>6000</v>
      </c>
      <c r="P342" s="159">
        <v>73</v>
      </c>
      <c r="Q342" s="143">
        <v>147550</v>
      </c>
      <c r="R342" s="159">
        <v>25550</v>
      </c>
      <c r="S342" s="159">
        <v>73</v>
      </c>
      <c r="T342" s="159">
        <v>147550</v>
      </c>
      <c r="U342" s="159">
        <f t="shared" si="5"/>
        <v>118040</v>
      </c>
    </row>
    <row r="343" spans="1:21" x14ac:dyDescent="0.25">
      <c r="A343" s="159" t="s">
        <v>348</v>
      </c>
      <c r="B343" s="158" t="s">
        <v>744</v>
      </c>
      <c r="C343" s="159" t="s">
        <v>1110</v>
      </c>
      <c r="D343" s="159">
        <v>148</v>
      </c>
      <c r="E343" s="142">
        <v>611</v>
      </c>
      <c r="F343" s="159">
        <v>244400</v>
      </c>
      <c r="G343" s="159">
        <v>0</v>
      </c>
      <c r="H343" s="159">
        <v>0</v>
      </c>
      <c r="I343" s="159">
        <v>0</v>
      </c>
      <c r="J343" s="159">
        <v>3</v>
      </c>
      <c r="K343" s="159">
        <v>18</v>
      </c>
      <c r="L343" s="142">
        <v>3600</v>
      </c>
      <c r="M343" s="159">
        <v>6</v>
      </c>
      <c r="N343" s="159">
        <v>36</v>
      </c>
      <c r="O343" s="143">
        <v>7200</v>
      </c>
      <c r="P343" s="159">
        <v>157</v>
      </c>
      <c r="Q343" s="143">
        <v>301600</v>
      </c>
      <c r="R343" s="159">
        <v>46400</v>
      </c>
      <c r="S343" s="159">
        <v>157</v>
      </c>
      <c r="T343" s="159">
        <v>301600</v>
      </c>
      <c r="U343" s="159">
        <f t="shared" si="5"/>
        <v>241280</v>
      </c>
    </row>
    <row r="344" spans="1:21" x14ac:dyDescent="0.25">
      <c r="A344" s="159" t="s">
        <v>349</v>
      </c>
      <c r="B344" s="158" t="s">
        <v>745</v>
      </c>
      <c r="C344" s="159" t="s">
        <v>1111</v>
      </c>
      <c r="D344" s="159">
        <v>115</v>
      </c>
      <c r="E344" s="142">
        <v>632</v>
      </c>
      <c r="F344" s="159">
        <v>252800</v>
      </c>
      <c r="G344" s="159">
        <v>110</v>
      </c>
      <c r="H344" s="159">
        <v>366</v>
      </c>
      <c r="I344" s="159">
        <v>184830</v>
      </c>
      <c r="J344" s="159">
        <v>18</v>
      </c>
      <c r="K344" s="159">
        <v>126</v>
      </c>
      <c r="L344" s="142">
        <v>25200</v>
      </c>
      <c r="M344" s="159">
        <v>10</v>
      </c>
      <c r="N344" s="159">
        <v>70</v>
      </c>
      <c r="O344" s="143">
        <v>14000</v>
      </c>
      <c r="P344" s="159">
        <v>253</v>
      </c>
      <c r="Q344" s="143">
        <v>542430</v>
      </c>
      <c r="R344" s="159">
        <v>65600</v>
      </c>
      <c r="S344" s="159">
        <v>253</v>
      </c>
      <c r="T344" s="159">
        <v>542430</v>
      </c>
      <c r="U344" s="159">
        <f t="shared" si="5"/>
        <v>433944</v>
      </c>
    </row>
    <row r="345" spans="1:21" x14ac:dyDescent="0.25">
      <c r="A345" s="159" t="s">
        <v>350</v>
      </c>
      <c r="B345" s="158" t="s">
        <v>746</v>
      </c>
      <c r="C345" s="159" t="s">
        <v>1112</v>
      </c>
      <c r="D345" s="159">
        <v>490</v>
      </c>
      <c r="E345" s="142">
        <v>2727</v>
      </c>
      <c r="F345" s="159">
        <v>1090800</v>
      </c>
      <c r="G345" s="159">
        <v>120</v>
      </c>
      <c r="H345" s="159">
        <v>480</v>
      </c>
      <c r="I345" s="159">
        <v>242400</v>
      </c>
      <c r="J345" s="159">
        <v>29</v>
      </c>
      <c r="K345" s="159">
        <v>191</v>
      </c>
      <c r="L345" s="142">
        <v>38200</v>
      </c>
      <c r="M345" s="159">
        <v>41</v>
      </c>
      <c r="N345" s="159">
        <v>182</v>
      </c>
      <c r="O345" s="143">
        <v>36400</v>
      </c>
      <c r="P345" s="159">
        <v>680</v>
      </c>
      <c r="Q345" s="143">
        <v>1558800</v>
      </c>
      <c r="R345" s="159">
        <v>151000</v>
      </c>
      <c r="S345" s="159">
        <v>680</v>
      </c>
      <c r="T345" s="159">
        <v>1558800</v>
      </c>
      <c r="U345" s="159">
        <f t="shared" si="5"/>
        <v>1247040</v>
      </c>
    </row>
    <row r="346" spans="1:21" x14ac:dyDescent="0.25">
      <c r="A346" s="159" t="s">
        <v>351</v>
      </c>
      <c r="B346" s="158" t="s">
        <v>504</v>
      </c>
      <c r="C346" s="159" t="s">
        <v>1113</v>
      </c>
      <c r="D346" s="159">
        <v>8</v>
      </c>
      <c r="E346" s="142">
        <v>46</v>
      </c>
      <c r="F346" s="159">
        <v>18400</v>
      </c>
      <c r="G346" s="159">
        <v>1</v>
      </c>
      <c r="H346" s="159">
        <v>5</v>
      </c>
      <c r="I346" s="159">
        <v>2525</v>
      </c>
      <c r="J346" s="159">
        <v>8</v>
      </c>
      <c r="K346" s="159">
        <v>40</v>
      </c>
      <c r="L346" s="142">
        <v>8000</v>
      </c>
      <c r="M346" s="159">
        <v>2</v>
      </c>
      <c r="N346" s="159">
        <v>12</v>
      </c>
      <c r="O346" s="143">
        <v>2400</v>
      </c>
      <c r="P346" s="159">
        <v>19</v>
      </c>
      <c r="Q346" s="143">
        <v>37975</v>
      </c>
      <c r="R346" s="159">
        <v>6650</v>
      </c>
      <c r="S346" s="159">
        <v>19</v>
      </c>
      <c r="T346" s="159">
        <v>37975</v>
      </c>
      <c r="U346" s="159">
        <f t="shared" si="5"/>
        <v>30380</v>
      </c>
    </row>
    <row r="347" spans="1:21" x14ac:dyDescent="0.25">
      <c r="A347" s="159" t="s">
        <v>352</v>
      </c>
      <c r="B347" s="158" t="s">
        <v>747</v>
      </c>
      <c r="C347" s="159" t="s">
        <v>1114</v>
      </c>
      <c r="D347" s="159">
        <v>133</v>
      </c>
      <c r="E347" s="142">
        <v>665</v>
      </c>
      <c r="F347" s="159">
        <v>266000</v>
      </c>
      <c r="G347" s="159">
        <v>46</v>
      </c>
      <c r="H347" s="159">
        <v>221</v>
      </c>
      <c r="I347" s="159">
        <v>111605</v>
      </c>
      <c r="J347" s="159">
        <v>16</v>
      </c>
      <c r="K347" s="159">
        <v>96</v>
      </c>
      <c r="L347" s="142">
        <v>19200</v>
      </c>
      <c r="M347" s="159">
        <v>6</v>
      </c>
      <c r="N347" s="159">
        <v>36</v>
      </c>
      <c r="O347" s="143">
        <v>7200</v>
      </c>
      <c r="P347" s="159">
        <v>201</v>
      </c>
      <c r="Q347" s="143">
        <v>459205</v>
      </c>
      <c r="R347" s="159">
        <v>55200</v>
      </c>
      <c r="S347" s="159">
        <v>201</v>
      </c>
      <c r="T347" s="159">
        <v>459205</v>
      </c>
      <c r="U347" s="159">
        <f t="shared" si="5"/>
        <v>367364</v>
      </c>
    </row>
    <row r="348" spans="1:21" x14ac:dyDescent="0.25">
      <c r="A348" s="159" t="s">
        <v>353</v>
      </c>
      <c r="B348" s="158" t="s">
        <v>748</v>
      </c>
      <c r="C348" s="159" t="s">
        <v>1115</v>
      </c>
      <c r="D348" s="159">
        <v>40</v>
      </c>
      <c r="E348" s="142">
        <v>200</v>
      </c>
      <c r="F348" s="159">
        <v>80000</v>
      </c>
      <c r="G348" s="159">
        <v>0</v>
      </c>
      <c r="H348" s="159">
        <v>0</v>
      </c>
      <c r="I348" s="159">
        <v>0</v>
      </c>
      <c r="J348" s="159">
        <v>12</v>
      </c>
      <c r="K348" s="159">
        <v>84</v>
      </c>
      <c r="L348" s="142">
        <v>16800</v>
      </c>
      <c r="M348" s="159">
        <v>3</v>
      </c>
      <c r="N348" s="159">
        <v>21</v>
      </c>
      <c r="O348" s="143">
        <v>4200</v>
      </c>
      <c r="P348" s="159">
        <v>55</v>
      </c>
      <c r="Q348" s="143">
        <v>120250</v>
      </c>
      <c r="R348" s="159">
        <v>19250</v>
      </c>
      <c r="S348" s="159">
        <v>55</v>
      </c>
      <c r="T348" s="159">
        <v>120250</v>
      </c>
      <c r="U348" s="159">
        <f t="shared" si="5"/>
        <v>96200</v>
      </c>
    </row>
    <row r="349" spans="1:21" x14ac:dyDescent="0.25">
      <c r="A349" s="159" t="s">
        <v>354</v>
      </c>
      <c r="B349" s="158" t="s">
        <v>749</v>
      </c>
      <c r="C349" s="159" t="s">
        <v>1116</v>
      </c>
      <c r="D349" s="159">
        <v>70</v>
      </c>
      <c r="E349" s="142">
        <v>320</v>
      </c>
      <c r="F349" s="159">
        <v>128000</v>
      </c>
      <c r="G349" s="159">
        <v>7</v>
      </c>
      <c r="H349" s="159">
        <v>34</v>
      </c>
      <c r="I349" s="159">
        <v>17170</v>
      </c>
      <c r="J349" s="159">
        <v>16</v>
      </c>
      <c r="K349" s="159">
        <v>80</v>
      </c>
      <c r="L349" s="142">
        <v>16000</v>
      </c>
      <c r="M349" s="159">
        <v>9</v>
      </c>
      <c r="N349" s="159">
        <v>36</v>
      </c>
      <c r="O349" s="143">
        <v>7200</v>
      </c>
      <c r="P349" s="159">
        <v>102</v>
      </c>
      <c r="Q349" s="143">
        <v>203770</v>
      </c>
      <c r="R349" s="159">
        <v>35400</v>
      </c>
      <c r="S349" s="159">
        <v>102</v>
      </c>
      <c r="T349" s="159">
        <v>203770</v>
      </c>
      <c r="U349" s="159">
        <f t="shared" si="5"/>
        <v>163016</v>
      </c>
    </row>
  </sheetData>
  <autoFilter ref="A1:U349" xr:uid="{17FDCD4F-5250-4A3F-877E-C51DCFA7486B}"/>
  <pageMargins left="0.75" right="0.75" top="1" bottom="1" header="0.5" footer="0.5"/>
  <pageSetup paperSize="9"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I31"/>
  <sheetViews>
    <sheetView zoomScaleNormal="100" workbookViewId="0">
      <selection activeCell="C43" sqref="C43"/>
    </sheetView>
  </sheetViews>
  <sheetFormatPr baseColWidth="10" defaultColWidth="11.5703125" defaultRowHeight="15" x14ac:dyDescent="0.25"/>
  <sheetData>
    <row r="1" spans="1:9" x14ac:dyDescent="0.25">
      <c r="A1" s="277" t="s">
        <v>18</v>
      </c>
      <c r="B1" s="278"/>
      <c r="C1" s="278"/>
      <c r="D1" s="278"/>
      <c r="E1" s="278"/>
      <c r="F1" s="278"/>
      <c r="G1" s="278"/>
      <c r="H1" s="279"/>
    </row>
    <row r="2" spans="1:9" x14ac:dyDescent="0.25">
      <c r="A2" s="280"/>
      <c r="B2" s="281"/>
      <c r="C2" s="281"/>
      <c r="D2" s="281"/>
      <c r="E2" s="281"/>
      <c r="F2" s="281"/>
      <c r="G2" s="281"/>
      <c r="H2" s="282"/>
    </row>
    <row r="3" spans="1:9" x14ac:dyDescent="0.25">
      <c r="A3" s="1" t="s">
        <v>9</v>
      </c>
      <c r="B3" s="2" t="str">
        <f>Mobilitätsangaben!D4</f>
        <v xml:space="preserve"> </v>
      </c>
      <c r="C3" s="3" t="s">
        <v>10</v>
      </c>
      <c r="D3" s="2" t="str">
        <f>Mobilitätsangaben!D8</f>
        <v xml:space="preserve"> </v>
      </c>
      <c r="E3" s="3" t="s">
        <v>11</v>
      </c>
      <c r="F3" s="2" t="str">
        <f>Mobilitätsangaben!D16</f>
        <v xml:space="preserve"> </v>
      </c>
      <c r="G3" s="3" t="s">
        <v>12</v>
      </c>
      <c r="H3" s="2" t="str">
        <f>Mobilitätsangaben!D20</f>
        <v xml:space="preserve"> </v>
      </c>
    </row>
    <row r="4" spans="1:9" x14ac:dyDescent="0.25">
      <c r="A4" s="4"/>
      <c r="B4" s="5"/>
      <c r="C4" s="5"/>
      <c r="D4" s="5"/>
      <c r="E4" s="283"/>
      <c r="F4" s="283"/>
      <c r="G4" s="5"/>
      <c r="H4" s="6"/>
    </row>
    <row r="5" spans="1:9" x14ac:dyDescent="0.25">
      <c r="A5" s="7"/>
      <c r="B5" s="8"/>
      <c r="C5" s="8"/>
      <c r="D5" s="8"/>
      <c r="E5" s="8"/>
      <c r="F5" s="8"/>
      <c r="G5" s="8"/>
      <c r="H5" s="9"/>
    </row>
    <row r="6" spans="1:9" x14ac:dyDescent="0.25">
      <c r="A6" s="284" t="s">
        <v>399</v>
      </c>
      <c r="B6" s="285"/>
      <c r="C6" s="285"/>
      <c r="D6" s="285"/>
      <c r="E6" s="285"/>
      <c r="F6" s="285"/>
      <c r="G6" s="10" t="str">
        <f>IFERROR(VLOOKUP(Übersicht!E3,Referenzblatt!A:S,19,FALSE),"")</f>
        <v xml:space="preserve"> </v>
      </c>
      <c r="H6" s="9"/>
      <c r="I6" t="s">
        <v>750</v>
      </c>
    </row>
    <row r="7" spans="1:9" x14ac:dyDescent="0.25">
      <c r="A7" s="284"/>
      <c r="B7" s="285"/>
      <c r="C7" s="285"/>
      <c r="D7" s="285"/>
      <c r="E7" s="285"/>
      <c r="F7" s="285"/>
      <c r="G7" s="285"/>
      <c r="H7" s="9"/>
    </row>
    <row r="8" spans="1:9" x14ac:dyDescent="0.25">
      <c r="A8" s="11" t="s">
        <v>13</v>
      </c>
      <c r="B8" s="8"/>
      <c r="C8" s="12">
        <v>350</v>
      </c>
      <c r="D8" s="13" t="s">
        <v>14</v>
      </c>
      <c r="E8" s="14">
        <f>IF(SUM(B3,D3,F3,H3)&lt;101,SUM(B3,D3,F3,H3),100)</f>
        <v>0</v>
      </c>
      <c r="F8" s="15" t="s">
        <v>15</v>
      </c>
      <c r="G8" s="16">
        <f>C8*E8</f>
        <v>0</v>
      </c>
      <c r="H8" s="9"/>
    </row>
    <row r="9" spans="1:9" x14ac:dyDescent="0.25">
      <c r="A9" s="11" t="s">
        <v>16</v>
      </c>
      <c r="B9" s="8"/>
      <c r="C9" s="12">
        <v>200</v>
      </c>
      <c r="D9" s="13" t="s">
        <v>14</v>
      </c>
      <c r="E9" s="14">
        <f>IF(AND(E8=100,SUM(B3,D3,F3,H3)&lt;101),SUM(B3,D3,F3,H3)-100,IF(SUM(B3,D3,F3,H3)&gt;100,(G6-100),0))</f>
        <v>0</v>
      </c>
      <c r="F9" s="15" t="s">
        <v>15</v>
      </c>
      <c r="G9" s="16">
        <f>C9*E9</f>
        <v>0</v>
      </c>
      <c r="H9" s="9"/>
    </row>
    <row r="10" spans="1:9" x14ac:dyDescent="0.25">
      <c r="A10" s="11" t="s">
        <v>17</v>
      </c>
      <c r="B10" s="8"/>
      <c r="C10" s="8"/>
      <c r="D10" s="8"/>
      <c r="E10" s="8"/>
      <c r="F10" s="8"/>
      <c r="G10" s="17" t="str">
        <f>IF(G8+G9=0,"",SUM(G8:G9))</f>
        <v/>
      </c>
      <c r="H10" s="6"/>
    </row>
    <row r="11" spans="1:9" x14ac:dyDescent="0.25">
      <c r="A11" s="4"/>
      <c r="B11" s="5"/>
      <c r="C11" s="5"/>
      <c r="D11" s="5"/>
      <c r="E11" s="5"/>
      <c r="F11" s="5"/>
      <c r="G11" s="5"/>
      <c r="H11" s="6"/>
    </row>
    <row r="13" spans="1:9" x14ac:dyDescent="0.25">
      <c r="A13" s="86" t="s">
        <v>400</v>
      </c>
      <c r="B13" s="36"/>
      <c r="C13" s="36"/>
      <c r="D13" s="36"/>
      <c r="E13" s="36"/>
      <c r="F13" s="36"/>
      <c r="G13" s="36"/>
      <c r="H13" s="87"/>
    </row>
    <row r="14" spans="1:9" x14ac:dyDescent="0.25">
      <c r="A14" s="88"/>
      <c r="B14" s="21"/>
      <c r="C14" s="21"/>
      <c r="D14" s="21"/>
      <c r="E14" s="21"/>
      <c r="F14" s="21"/>
      <c r="G14" s="21"/>
      <c r="H14" s="89"/>
    </row>
    <row r="15" spans="1:9" x14ac:dyDescent="0.25">
      <c r="A15" s="1" t="s">
        <v>9</v>
      </c>
      <c r="B15" s="2">
        <f>Mobilitätsangaben!H4</f>
        <v>0</v>
      </c>
      <c r="C15" s="3" t="s">
        <v>10</v>
      </c>
      <c r="D15" s="2">
        <f>Mobilitätsangaben!H8</f>
        <v>0</v>
      </c>
      <c r="E15" s="3" t="s">
        <v>11</v>
      </c>
      <c r="F15" s="2">
        <f>Mobilitätsangaben!H16</f>
        <v>0</v>
      </c>
      <c r="G15" s="3" t="s">
        <v>12</v>
      </c>
      <c r="H15" s="2">
        <f>Mobilitätsangaben!H20</f>
        <v>0</v>
      </c>
    </row>
    <row r="16" spans="1:9" x14ac:dyDescent="0.25">
      <c r="A16" s="4"/>
      <c r="B16" s="5"/>
      <c r="C16" s="5"/>
      <c r="D16" s="5"/>
      <c r="E16" s="283"/>
      <c r="F16" s="283"/>
      <c r="G16" s="5"/>
      <c r="H16" s="6"/>
    </row>
    <row r="17" spans="1:8" x14ac:dyDescent="0.25">
      <c r="A17" s="77"/>
      <c r="B17" s="78"/>
      <c r="C17" s="78"/>
      <c r="D17" s="78"/>
      <c r="E17" s="78"/>
      <c r="F17" s="78"/>
      <c r="G17" s="78"/>
      <c r="H17" s="18"/>
    </row>
    <row r="18" spans="1:8" x14ac:dyDescent="0.25">
      <c r="A18" s="284" t="s">
        <v>20</v>
      </c>
      <c r="B18" s="285"/>
      <c r="C18" s="285"/>
      <c r="D18" s="285"/>
      <c r="E18" s="285"/>
      <c r="F18" s="285"/>
      <c r="G18" s="10">
        <f>SUM(B15,D15,F15,H15)</f>
        <v>0</v>
      </c>
      <c r="H18" s="9"/>
    </row>
    <row r="19" spans="1:8" x14ac:dyDescent="0.25">
      <c r="A19" s="74"/>
      <c r="B19" s="75"/>
      <c r="C19" s="75"/>
      <c r="D19" s="75"/>
      <c r="E19" s="75"/>
      <c r="F19" s="75"/>
      <c r="G19" s="9"/>
      <c r="H19" s="9"/>
    </row>
    <row r="20" spans="1:8" ht="15" customHeight="1" x14ac:dyDescent="0.25">
      <c r="A20" s="280" t="s">
        <v>398</v>
      </c>
      <c r="B20" s="281"/>
      <c r="C20" s="281"/>
      <c r="D20" s="281"/>
      <c r="E20" s="281"/>
      <c r="F20" s="282"/>
      <c r="G20" s="286" t="e">
        <f>ROUNDDOWN(G6*0.9,0)</f>
        <v>#VALUE!</v>
      </c>
      <c r="H20" s="9"/>
    </row>
    <row r="21" spans="1:8" x14ac:dyDescent="0.25">
      <c r="A21" s="280"/>
      <c r="B21" s="281"/>
      <c r="C21" s="281"/>
      <c r="D21" s="281"/>
      <c r="E21" s="281"/>
      <c r="F21" s="282"/>
      <c r="G21" s="287"/>
      <c r="H21" s="9"/>
    </row>
    <row r="22" spans="1:8" x14ac:dyDescent="0.25">
      <c r="A22" s="284"/>
      <c r="B22" s="285"/>
      <c r="C22" s="285"/>
      <c r="D22" s="285"/>
      <c r="E22" s="285"/>
      <c r="F22" s="285"/>
      <c r="G22" s="285"/>
      <c r="H22" s="9"/>
    </row>
    <row r="23" spans="1:8" x14ac:dyDescent="0.25">
      <c r="A23" s="11" t="s">
        <v>13</v>
      </c>
      <c r="B23" s="8"/>
      <c r="C23" s="12">
        <v>350</v>
      </c>
      <c r="D23" s="13" t="s">
        <v>14</v>
      </c>
      <c r="E23" s="14">
        <f>IF(SUM(B15,D15,F15,H15)&lt;101,SUM(B15,D15,F15,H15),100)</f>
        <v>0</v>
      </c>
      <c r="F23" s="15" t="s">
        <v>15</v>
      </c>
      <c r="G23" s="16">
        <f>C23*E23</f>
        <v>0</v>
      </c>
      <c r="H23" s="9"/>
    </row>
    <row r="24" spans="1:8" x14ac:dyDescent="0.25">
      <c r="A24" s="11" t="s">
        <v>16</v>
      </c>
      <c r="B24" s="8"/>
      <c r="C24" s="12">
        <v>200</v>
      </c>
      <c r="D24" s="13" t="s">
        <v>14</v>
      </c>
      <c r="E24" s="14">
        <f>IF(AND(E23=100,SUM(B15,D15,F15,H15)&lt;101),SUM(B15,D15,F15,H15)-100,IF(SUM(B15,D15,F15,H15)&gt;100,(G18-100),0))</f>
        <v>0</v>
      </c>
      <c r="F24" s="15" t="s">
        <v>15</v>
      </c>
      <c r="G24" s="16">
        <f>C24*E24</f>
        <v>0</v>
      </c>
      <c r="H24" s="9"/>
    </row>
    <row r="25" spans="1:8" x14ac:dyDescent="0.25">
      <c r="B25" s="8"/>
      <c r="C25" s="8"/>
      <c r="D25" s="8"/>
      <c r="E25" s="8"/>
      <c r="F25" s="85" t="s">
        <v>17</v>
      </c>
      <c r="G25" s="84">
        <f>SUM(G23:G24)</f>
        <v>0</v>
      </c>
      <c r="H25" s="9"/>
    </row>
    <row r="26" spans="1:8" x14ac:dyDescent="0.25">
      <c r="A26" s="7"/>
      <c r="B26" s="8"/>
      <c r="C26" s="8"/>
      <c r="D26" s="8"/>
      <c r="E26" s="8"/>
      <c r="F26" s="8"/>
      <c r="G26" s="8"/>
      <c r="H26" s="9"/>
    </row>
    <row r="27" spans="1:8" x14ac:dyDescent="0.25">
      <c r="A27" s="290" t="s">
        <v>396</v>
      </c>
      <c r="B27" s="291"/>
      <c r="C27" s="291"/>
      <c r="D27" s="291"/>
      <c r="E27" s="291"/>
      <c r="F27" s="291"/>
      <c r="G27" s="83">
        <f>IF(G25&lt;=G10,G25,G10)</f>
        <v>0</v>
      </c>
      <c r="H27" s="9"/>
    </row>
    <row r="28" spans="1:8" x14ac:dyDescent="0.25">
      <c r="A28" s="292" t="s">
        <v>754</v>
      </c>
      <c r="B28" s="293"/>
      <c r="C28" s="293"/>
      <c r="D28" s="293"/>
      <c r="E28" s="293"/>
      <c r="F28" s="293"/>
      <c r="G28" s="83">
        <f>IF(G18=0,0,G27)</f>
        <v>0</v>
      </c>
      <c r="H28" s="19"/>
    </row>
    <row r="29" spans="1:8" x14ac:dyDescent="0.25">
      <c r="A29" s="288" t="s">
        <v>423</v>
      </c>
      <c r="B29" s="289"/>
      <c r="C29" s="289"/>
      <c r="D29" s="289"/>
      <c r="E29" s="289"/>
      <c r="F29" s="289"/>
      <c r="G29" s="83">
        <f>G25</f>
        <v>0</v>
      </c>
      <c r="H29" s="79"/>
    </row>
    <row r="30" spans="1:8" x14ac:dyDescent="0.25">
      <c r="A30" s="80"/>
      <c r="B30" s="81" t="s">
        <v>397</v>
      </c>
      <c r="C30" s="81"/>
      <c r="D30" s="81"/>
      <c r="E30" s="81"/>
      <c r="F30" s="81"/>
      <c r="G30" s="10" t="e">
        <f>IF(G18&gt;=G20,G6,G18)</f>
        <v>#VALUE!</v>
      </c>
      <c r="H30" s="82"/>
    </row>
    <row r="31" spans="1:8" x14ac:dyDescent="0.25">
      <c r="A31" s="76"/>
      <c r="B31" s="76"/>
      <c r="C31" s="76"/>
      <c r="D31" s="76"/>
      <c r="E31" s="76"/>
      <c r="F31" s="76"/>
      <c r="G31" s="76"/>
      <c r="H31" s="76"/>
    </row>
  </sheetData>
  <mergeCells count="12">
    <mergeCell ref="A29:F29"/>
    <mergeCell ref="E16:F16"/>
    <mergeCell ref="A18:F18"/>
    <mergeCell ref="A22:G22"/>
    <mergeCell ref="A27:F27"/>
    <mergeCell ref="A28:F28"/>
    <mergeCell ref="A1:H2"/>
    <mergeCell ref="E4:F4"/>
    <mergeCell ref="A6:F6"/>
    <mergeCell ref="A7:G7"/>
    <mergeCell ref="A20:F21"/>
    <mergeCell ref="G20:G21"/>
  </mergeCells>
  <dataValidations count="1">
    <dataValidation type="whole" operator="greaterThanOrEqual" allowBlank="1" showInputMessage="1" showErrorMessage="1" sqref="B3 D3 F3 H3 B15 D15 F15 H15" xr:uid="{00000000-0002-0000-0300-000000000000}">
      <formula1>0</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Übersicht</vt:lpstr>
      <vt:lpstr>Mobilitätsangaben</vt:lpstr>
      <vt:lpstr>70%-Nachweis</vt:lpstr>
      <vt:lpstr>Referenzblatt</vt:lpstr>
      <vt:lpstr>OS-Rechner</vt:lpstr>
      <vt:lpstr>Mobilitätsangaben!Druckbereich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 Kind</dc:creator>
  <cp:lastModifiedBy>Aileen Völlger</cp:lastModifiedBy>
  <cp:lastPrinted>2020-02-04T15:09:34Z</cp:lastPrinted>
  <dcterms:created xsi:type="dcterms:W3CDTF">2014-07-03T15:11:23Z</dcterms:created>
  <dcterms:modified xsi:type="dcterms:W3CDTF">2020-02-05T11:07:49Z</dcterms:modified>
</cp:coreProperties>
</file>